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4235"/>
  </bookViews>
  <sheets>
    <sheet name="データ入力" sheetId="1" r:id="rId1"/>
    <sheet name="売上レポート" sheetId="2" r:id="rId2"/>
    <sheet name="販売予測" sheetId="5" r:id="rId3"/>
  </sheets>
  <definedNames>
    <definedName name="fDate">販売予測!$D$3</definedName>
    <definedName name="fDay">販売予測!$H$2</definedName>
    <definedName name="fMonth">販売予測!$G$2</definedName>
    <definedName name="ForecastDate">販売予測!$D$3</definedName>
    <definedName name="fYear">販売予測!$I$2</definedName>
    <definedName name="_xlnm.Print_Area" localSheetId="2">販売予測!$B$2:$J$43</definedName>
    <definedName name="_xlnm.Print_Titles" localSheetId="1">売上レポート!$B:$E,売上レポート!$5:$5</definedName>
  </definedNames>
  <calcPr calcId="162913"/>
  <pivotCaches>
    <pivotCache cacheId="6" r:id="rId4"/>
  </pivotCaches>
</workbook>
</file>

<file path=xl/calcChain.xml><?xml version="1.0" encoding="utf-8"?>
<calcChain xmlns="http://schemas.openxmlformats.org/spreadsheetml/2006/main">
  <c r="B3" i="5" l="1"/>
  <c r="K1" i="5" l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D3" i="5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24" i="1"/>
  <c r="I24" i="1" s="1"/>
  <c r="J24" i="1"/>
  <c r="L24" i="1"/>
  <c r="N24" i="1"/>
  <c r="L18" i="1"/>
  <c r="H23" i="1"/>
  <c r="I23" i="1" s="1"/>
  <c r="J23" i="1"/>
  <c r="L23" i="1"/>
  <c r="N2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O6" i="1" l="1"/>
  <c r="O23" i="1"/>
  <c r="O21" i="1"/>
  <c r="O19" i="1"/>
  <c r="O17" i="1"/>
  <c r="O15" i="1"/>
  <c r="O13" i="1"/>
  <c r="O11" i="1"/>
  <c r="O9" i="1"/>
  <c r="O7" i="1"/>
  <c r="O24" i="1"/>
  <c r="O22" i="1"/>
  <c r="O20" i="1"/>
  <c r="O18" i="1"/>
  <c r="O16" i="1"/>
  <c r="O14" i="1"/>
  <c r="O12" i="1"/>
  <c r="O10" i="1"/>
  <c r="O8" i="1"/>
  <c r="I14" i="5" l="1"/>
  <c r="D14" i="5"/>
  <c r="H8" i="5"/>
  <c r="G7" i="5"/>
  <c r="H7" i="5"/>
  <c r="G10" i="5"/>
  <c r="G6" i="5"/>
  <c r="G8" i="5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J7" i="5" l="1"/>
  <c r="G9" i="5"/>
  <c r="H9" i="5"/>
  <c r="J8" i="5"/>
  <c r="Q21" i="1"/>
  <c r="Q19" i="1"/>
  <c r="Q17" i="1"/>
  <c r="Q15" i="1"/>
  <c r="Q13" i="1"/>
  <c r="Q11" i="1"/>
  <c r="Q9" i="1"/>
  <c r="Q7" i="1"/>
  <c r="Q22" i="1"/>
  <c r="Q20" i="1"/>
  <c r="Q18" i="1"/>
  <c r="Q16" i="1"/>
  <c r="Q14" i="1"/>
  <c r="Q12" i="1"/>
  <c r="Q10" i="1"/>
  <c r="Q8" i="1"/>
  <c r="Q6" i="1"/>
  <c r="Q23" i="1"/>
  <c r="Q24" i="1"/>
  <c r="C8" i="5"/>
  <c r="C10" i="5"/>
  <c r="C7" i="5"/>
  <c r="D8" i="5"/>
  <c r="D7" i="5"/>
  <c r="C6" i="5"/>
  <c r="I21" i="1"/>
  <c r="I19" i="1"/>
  <c r="I17" i="1"/>
  <c r="I15" i="1"/>
  <c r="I13" i="1"/>
  <c r="I11" i="1"/>
  <c r="I9" i="1"/>
  <c r="I7" i="1"/>
  <c r="I22" i="1"/>
  <c r="I20" i="1"/>
  <c r="I18" i="1"/>
  <c r="I16" i="1"/>
  <c r="I14" i="1"/>
  <c r="I12" i="1"/>
  <c r="I10" i="1"/>
  <c r="I8" i="1"/>
  <c r="I6" i="1"/>
  <c r="G11" i="5"/>
  <c r="I8" i="5"/>
  <c r="I7" i="5"/>
  <c r="J9" i="5" l="1"/>
  <c r="M24" i="1"/>
  <c r="M23" i="1"/>
  <c r="M6" i="1"/>
  <c r="M8" i="1"/>
  <c r="M12" i="1"/>
  <c r="M16" i="1"/>
  <c r="M20" i="1"/>
  <c r="M7" i="1"/>
  <c r="M11" i="1"/>
  <c r="M15" i="1"/>
  <c r="M19" i="1"/>
  <c r="M10" i="1"/>
  <c r="M14" i="1"/>
  <c r="M18" i="1"/>
  <c r="M22" i="1"/>
  <c r="M9" i="1"/>
  <c r="M13" i="1"/>
  <c r="M17" i="1"/>
  <c r="M21" i="1"/>
  <c r="F7" i="5"/>
  <c r="C11" i="5"/>
  <c r="F8" i="5"/>
  <c r="D9" i="5"/>
  <c r="C9" i="5"/>
  <c r="E8" i="5"/>
  <c r="E7" i="5"/>
  <c r="P10" i="1" l="1"/>
  <c r="P14" i="1"/>
  <c r="P15" i="1"/>
  <c r="P7" i="1"/>
  <c r="P16" i="1"/>
  <c r="P8" i="1"/>
  <c r="P23" i="1"/>
  <c r="P21" i="1"/>
  <c r="P13" i="1"/>
  <c r="P22" i="1"/>
  <c r="P19" i="1"/>
  <c r="P11" i="1"/>
  <c r="P20" i="1"/>
  <c r="P12" i="1"/>
  <c r="P24" i="1"/>
  <c r="P6" i="1"/>
  <c r="P17" i="1"/>
  <c r="P9" i="1"/>
  <c r="P18" i="1"/>
  <c r="F14" i="5"/>
  <c r="F9" i="5"/>
</calcChain>
</file>

<file path=xl/sharedStrings.xml><?xml version="1.0" encoding="utf-8"?>
<sst xmlns="http://schemas.openxmlformats.org/spreadsheetml/2006/main" count="94" uniqueCount="58">
  <si>
    <t>%</t>
  </si>
  <si>
    <t>MONTH NUM (HIDE)</t>
  </si>
  <si>
    <t xml:space="preserve"> </t>
  </si>
  <si>
    <t>総計</t>
  </si>
  <si>
    <t>日付</t>
  </si>
  <si>
    <t>会社</t>
  </si>
  <si>
    <t>金額</t>
  </si>
  <si>
    <t>収益</t>
  </si>
  <si>
    <t>月</t>
  </si>
  <si>
    <t>四半期</t>
  </si>
  <si>
    <t>年</t>
  </si>
  <si>
    <t xml:space="preserve">月 </t>
  </si>
  <si>
    <t xml:space="preserve">四半期 </t>
  </si>
  <si>
    <t xml:space="preserve">年間 </t>
  </si>
  <si>
    <t xml:space="preserve">月  </t>
  </si>
  <si>
    <t xml:space="preserve">四半期  </t>
  </si>
  <si>
    <t xml:space="preserve">年  </t>
  </si>
  <si>
    <t>予測</t>
  </si>
  <si>
    <t>予測</t>
    <phoneticPr fontId="5"/>
  </si>
  <si>
    <t>合計</t>
    <phoneticPr fontId="5"/>
  </si>
  <si>
    <t>山門屋</t>
  </si>
  <si>
    <t>蓬莱堂</t>
  </si>
  <si>
    <t>びしゃもんや</t>
  </si>
  <si>
    <t>肥後株式会社</t>
  </si>
  <si>
    <t>大宮ユニオン</t>
  </si>
  <si>
    <t>ヒロコーポレーション</t>
  </si>
  <si>
    <t>2013 集計</t>
  </si>
  <si>
    <t>Quarter 2 集計</t>
  </si>
  <si>
    <t>Quarter 3 集計</t>
  </si>
  <si>
    <t>Quarter 4 集計</t>
  </si>
  <si>
    <t>今月</t>
  </si>
  <si>
    <t>実際</t>
  </si>
  <si>
    <t>計画</t>
  </si>
  <si>
    <t>差異</t>
  </si>
  <si>
    <t>(年度) 累計の実績</t>
  </si>
  <si>
    <t>(年度) 累計の計画</t>
  </si>
  <si>
    <t>(年度) 累計の差異</t>
  </si>
  <si>
    <t>(年度) 累計の比率</t>
  </si>
  <si>
    <t>来月</t>
  </si>
  <si>
    <t>来四半期</t>
  </si>
  <si>
    <t>販売</t>
  </si>
  <si>
    <t>四半期予測</t>
  </si>
  <si>
    <t>月間予測</t>
  </si>
  <si>
    <t>年間予測</t>
  </si>
  <si>
    <t>販売履歴</t>
    <phoneticPr fontId="5"/>
  </si>
  <si>
    <t>総売上</t>
  </si>
  <si>
    <t>数量</t>
  </si>
  <si>
    <t>利幅</t>
  </si>
  <si>
    <t>注文数</t>
  </si>
  <si>
    <t>平均注文額</t>
  </si>
  <si>
    <t>来年</t>
    <phoneticPr fontId="5"/>
  </si>
  <si>
    <t>四半期</t>
    <phoneticPr fontId="5"/>
  </si>
  <si>
    <t>費用</t>
    <phoneticPr fontId="5"/>
  </si>
  <si>
    <t>計画</t>
    <phoneticPr fontId="5"/>
  </si>
  <si>
    <r>
      <rPr>
        <sz val="22"/>
        <color theme="3"/>
        <rFont val="Meiryo UI"/>
        <family val="3"/>
        <charset val="128"/>
      </rPr>
      <t>月次</t>
    </r>
    <r>
      <rPr>
        <sz val="22"/>
        <color theme="4"/>
        <rFont val="Meiryo UI"/>
        <family val="3"/>
        <charset val="128"/>
      </rPr>
      <t>データ入力</t>
    </r>
    <phoneticPr fontId="5"/>
  </si>
  <si>
    <r>
      <rPr>
        <sz val="22"/>
        <color theme="3"/>
        <rFont val="Meiryo UI"/>
        <family val="3"/>
        <charset val="128"/>
      </rPr>
      <t>月次</t>
    </r>
    <r>
      <rPr>
        <sz val="22"/>
        <color theme="4"/>
        <rFont val="Meiryo UI"/>
        <family val="3"/>
        <charset val="128"/>
      </rPr>
      <t>売上レポート</t>
    </r>
    <phoneticPr fontId="5"/>
  </si>
  <si>
    <r>
      <rPr>
        <sz val="22"/>
        <color theme="3"/>
        <rFont val="Meiryo UI"/>
        <family val="3"/>
        <charset val="128"/>
      </rPr>
      <t>月次</t>
    </r>
    <r>
      <rPr>
        <sz val="22"/>
        <color theme="4"/>
        <rFont val="Meiryo UI"/>
        <family val="3"/>
        <charset val="128"/>
      </rPr>
      <t>販売予測</t>
    </r>
    <phoneticPr fontId="5"/>
  </si>
  <si>
    <t>収益の推移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</si>
</sst>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3" formatCode="_ * #,##0.00_ ;_ * \-#,##0.00_ ;_ * &quot;-&quot;??_ ;_ @_ "/>
    <numFmt numFmtId="176" formatCode="&quot;$&quot;#,##0.00"/>
    <numFmt numFmtId="177" formatCode="&quot;Quarter &quot;0"/>
    <numFmt numFmtId="178" formatCode="[$¥-411]#,##0;[$¥-411]#,##0"/>
    <numFmt numFmtId="179" formatCode="[$-411]mmmm"/>
    <numFmt numFmtId="180" formatCode="&quot;四半期 &quot;0"/>
  </numFmts>
  <fonts count="20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22"/>
      <name val="Meiryo UI"/>
      <family val="3"/>
      <charset val="128"/>
    </font>
    <font>
      <sz val="22"/>
      <color theme="3"/>
      <name val="Meiryo UI"/>
      <family val="3"/>
      <charset val="128"/>
    </font>
    <font>
      <sz val="22"/>
      <color theme="4"/>
      <name val="Meiryo UI"/>
      <family val="3"/>
      <charset val="128"/>
    </font>
    <font>
      <sz val="8"/>
      <color theme="3"/>
      <name val="Meiryo UI"/>
      <family val="3"/>
      <charset val="128"/>
    </font>
    <font>
      <sz val="6"/>
      <color theme="3"/>
      <name val="Meiryo UI"/>
      <family val="3"/>
      <charset val="128"/>
    </font>
    <font>
      <b/>
      <sz val="10"/>
      <color theme="5"/>
      <name val="Meiryo UI"/>
      <family val="3"/>
      <charset val="128"/>
    </font>
    <font>
      <sz val="10"/>
      <color theme="5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8"/>
      <color theme="3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3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4" fillId="0" borderId="0" applyNumberFormat="0" applyFill="0" applyBorder="0" applyAlignment="0" applyProtection="0"/>
  </cellStyleXfs>
  <cellXfs count="6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12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6" fillId="0" borderId="0" xfId="0" applyFont="1" applyAlignment="1">
      <alignment vertical="center"/>
    </xf>
    <xf numFmtId="14" fontId="14" fillId="0" borderId="0" xfId="0" applyNumberFormat="1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left" vertical="center"/>
    </xf>
    <xf numFmtId="178" fontId="14" fillId="0" borderId="0" xfId="0" applyNumberFormat="1" applyFont="1" applyFill="1" applyBorder="1" applyAlignment="1">
      <alignment horizontal="left" vertical="center"/>
    </xf>
    <xf numFmtId="178" fontId="6" fillId="5" borderId="0" xfId="0" applyNumberFormat="1" applyFont="1" applyFill="1" applyBorder="1" applyAlignment="1">
      <alignment horizontal="left" vertical="center"/>
    </xf>
    <xf numFmtId="178" fontId="6" fillId="4" borderId="0" xfId="0" applyNumberFormat="1" applyFont="1" applyFill="1" applyBorder="1" applyAlignment="1">
      <alignment horizontal="left" vertical="center"/>
    </xf>
    <xf numFmtId="178" fontId="6" fillId="3" borderId="0" xfId="0" applyNumberFormat="1" applyFont="1" applyFill="1" applyBorder="1" applyAlignment="1">
      <alignment horizontal="left" vertical="center"/>
    </xf>
    <xf numFmtId="179" fontId="6" fillId="5" borderId="0" xfId="0" applyNumberFormat="1" applyFont="1" applyFill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pivotButton="1" applyFont="1">
      <alignment vertical="center"/>
    </xf>
    <xf numFmtId="0" fontId="13" fillId="0" borderId="0" xfId="0" applyFont="1" applyAlignment="1">
      <alignment horizontal="right" vertical="center"/>
    </xf>
    <xf numFmtId="177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178" fontId="6" fillId="0" borderId="0" xfId="0" applyNumberFormat="1" applyFont="1">
      <alignment vertical="center"/>
    </xf>
    <xf numFmtId="0" fontId="16" fillId="0" borderId="0" xfId="0" applyFont="1" applyAlignment="1">
      <alignment horizontal="left"/>
    </xf>
    <xf numFmtId="14" fontId="17" fillId="0" borderId="0" xfId="0" applyNumberFormat="1" applyFont="1" applyAlignment="1">
      <alignment horizontal="right"/>
    </xf>
    <xf numFmtId="0" fontId="12" fillId="0" borderId="4" xfId="4" applyFont="1" applyFill="1" applyBorder="1" applyAlignment="1">
      <alignment horizontal="left" vertical="center"/>
    </xf>
    <xf numFmtId="176" fontId="13" fillId="0" borderId="4" xfId="4" applyNumberFormat="1" applyFont="1" applyFill="1" applyBorder="1" applyAlignment="1">
      <alignment horizontal="left" vertical="center" indent="1"/>
    </xf>
    <xf numFmtId="176" fontId="13" fillId="0" borderId="4" xfId="4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/>
    </xf>
    <xf numFmtId="0" fontId="10" fillId="5" borderId="2" xfId="1" applyNumberFormat="1" applyFont="1" applyFill="1" applyBorder="1" applyAlignment="1">
      <alignment horizontal="left" vertical="center" indent="1"/>
    </xf>
    <xf numFmtId="0" fontId="10" fillId="0" borderId="2" xfId="1" applyNumberFormat="1" applyFont="1" applyFill="1" applyBorder="1" applyAlignment="1">
      <alignment horizontal="left" vertical="center" indent="1"/>
    </xf>
    <xf numFmtId="0" fontId="10" fillId="0" borderId="2" xfId="0" applyNumberFormat="1" applyFont="1" applyFill="1" applyBorder="1" applyAlignment="1">
      <alignment horizontal="left" vertical="center"/>
    </xf>
    <xf numFmtId="10" fontId="10" fillId="0" borderId="2" xfId="0" applyNumberFormat="1" applyFont="1" applyFill="1" applyBorder="1" applyAlignment="1">
      <alignment horizontal="left" vertical="center"/>
    </xf>
    <xf numFmtId="0" fontId="10" fillId="0" borderId="2" xfId="1" applyNumberFormat="1" applyFont="1" applyFill="1" applyBorder="1" applyAlignment="1">
      <alignment horizontal="left" vertical="center"/>
    </xf>
    <xf numFmtId="10" fontId="10" fillId="0" borderId="2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176" fontId="10" fillId="5" borderId="1" xfId="0" applyNumberFormat="1" applyFont="1" applyFill="1" applyBorder="1" applyAlignment="1">
      <alignment horizontal="left" vertical="center" indent="1"/>
    </xf>
    <xf numFmtId="10" fontId="10" fillId="5" borderId="1" xfId="0" applyNumberFormat="1" applyFont="1" applyFill="1" applyBorder="1" applyAlignment="1">
      <alignment horizontal="left" vertical="center" indent="1"/>
    </xf>
    <xf numFmtId="10" fontId="10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8" fillId="0" borderId="0" xfId="0" applyFont="1" applyBorder="1">
      <alignment vertical="center"/>
    </xf>
    <xf numFmtId="176" fontId="13" fillId="0" borderId="4" xfId="4" applyNumberFormat="1" applyFont="1" applyFill="1" applyBorder="1" applyAlignment="1">
      <alignment horizontal="left" vertical="center"/>
    </xf>
    <xf numFmtId="0" fontId="13" fillId="0" borderId="4" xfId="4" applyFont="1" applyBorder="1" applyAlignment="1">
      <alignment horizontal="left" vertical="center"/>
    </xf>
    <xf numFmtId="176" fontId="13" fillId="0" borderId="4" xfId="0" applyNumberFormat="1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176" fontId="15" fillId="0" borderId="3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176" fontId="10" fillId="0" borderId="3" xfId="0" applyNumberFormat="1" applyFont="1" applyBorder="1" applyAlignment="1">
      <alignment horizontal="left"/>
    </xf>
    <xf numFmtId="176" fontId="16" fillId="0" borderId="0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6" fontId="10" fillId="5" borderId="1" xfId="0" applyNumberFormat="1" applyFont="1" applyFill="1" applyBorder="1" applyAlignment="1">
      <alignment horizontal="left" vertical="center" indent="1"/>
    </xf>
    <xf numFmtId="6" fontId="10" fillId="5" borderId="1" xfId="0" applyNumberFormat="1" applyFont="1" applyFill="1" applyBorder="1" applyAlignment="1">
      <alignment horizontal="right" vertical="center"/>
    </xf>
    <xf numFmtId="178" fontId="15" fillId="0" borderId="3" xfId="0" applyNumberFormat="1" applyFont="1" applyBorder="1" applyAlignment="1">
      <alignment horizontal="left"/>
    </xf>
    <xf numFmtId="178" fontId="15" fillId="0" borderId="3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178" fontId="14" fillId="0" borderId="0" xfId="0" applyNumberFormat="1" applyFont="1">
      <alignment vertical="center"/>
    </xf>
    <xf numFmtId="180" fontId="6" fillId="5" borderId="0" xfId="0" applyNumberFormat="1" applyFont="1" applyFill="1" applyBorder="1" applyAlignment="1">
      <alignment horizontal="left" vertical="center"/>
    </xf>
    <xf numFmtId="179" fontId="6" fillId="0" borderId="0" xfId="0" applyNumberFormat="1" applyFont="1">
      <alignment vertical="center"/>
    </xf>
    <xf numFmtId="180" fontId="6" fillId="0" borderId="0" xfId="0" applyNumberFormat="1" applyFont="1">
      <alignment vertical="center"/>
    </xf>
  </cellXfs>
  <cellStyles count="5">
    <cellStyle name="桁区切り [0.00]" xfId="1" builtinId="3"/>
    <cellStyle name="見出し 1" xfId="2" builtinId="16" customBuiltin="1"/>
    <cellStyle name="見出し 2" xfId="3" builtinId="17" customBuiltin="1"/>
    <cellStyle name="見出し 4" xfId="4" builtinId="19" customBuiltin="1"/>
    <cellStyle name="標準" xfId="0" builtinId="0" customBuiltin="1"/>
  </cellStyles>
  <dxfs count="63"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alignment horizontal="left" readingOrder="0"/>
    </dxf>
    <dxf>
      <numFmt numFmtId="178" formatCode="[$¥-411]#,##0;[$¥-411]#,##0"/>
    </dxf>
    <dxf>
      <font>
        <b/>
      </font>
    </dxf>
    <dxf>
      <font>
        <b/>
      </font>
    </dxf>
    <dxf>
      <numFmt numFmtId="180" formatCode="&quot;四半期 &quot;0"/>
    </dxf>
    <dxf>
      <numFmt numFmtId="180" formatCode="&quot;四半期 &quot;0"/>
    </dxf>
    <dxf>
      <numFmt numFmtId="180" formatCode="&quot;四半期 &quot;0"/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numFmt numFmtId="180" formatCode="&quot;四半期 &quot;0"/>
    </dxf>
    <dxf>
      <numFmt numFmtId="180" formatCode="&quot;四半期 &quot;0"/>
    </dxf>
    <dxf>
      <numFmt numFmtId="180" formatCode="&quot;四半期 &quot;0"/>
    </dxf>
    <dxf>
      <font>
        <b/>
      </font>
    </dxf>
    <dxf>
      <font>
        <b/>
      </font>
    </dxf>
    <dxf>
      <numFmt numFmtId="178" formatCode="[$¥-411]#,##0;[$¥-411]#,##0"/>
    </dxf>
    <dxf>
      <alignment horizontal="left" readingOrder="0"/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alignment horizontal="right" readingOrder="0"/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8" formatCode="[$¥-411]#,##0;[$¥-411]#,##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8" formatCode="[$¥-411]#,##0;[$¥-411]#,##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8" formatCode="[$¥-411]#,##0;[$¥-411]#,##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8" formatCode="[$¥-411]#,##0;[$¥-411]#,##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8" formatCode="[$¥-411]#,##0;[$¥-411]#,##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8" formatCode="[$¥-411]#,##0;[$¥-411]#,##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9" formatCode="[$-411]mmmm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8" formatCode="[$¥-411]#,##0;[$¥-411]#,##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8" formatCode="[$¥-411]#,##0;[$¥-411]#,##0"/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8" formatCode="[$¥-411]#,##0;[$¥-411]#,##0"/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78" formatCode="[$¥-411]#,##0;[$¥-411]#,##0"/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Meiryo UI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Meiryo UI"/>
        <scheme val="none"/>
      </font>
      <numFmt numFmtId="181" formatCode="mm/d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eiryo UI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indent="0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62"/>
      <tableStyleElement type="headerRow" dxfId="61"/>
      <tableStyleElement type="totalRow" dxfId="60"/>
      <tableStyleElement type="secondSubtotalRow" dxfId="59"/>
      <tableStyleElement type="thirdSubtotalRow" dxfId="58"/>
      <tableStyleElement type="firstRowSubheading" dxfId="57"/>
      <tableStyleElement type="secondRowSubheading" dxfId="56"/>
      <tableStyleElement type="thirdRowSubheading" dxfId="55"/>
    </tableStyle>
    <tableStyle name="Monthly Sales Report Table Style" pivot="0" count="2">
      <tableStyleElement type="wholeTable" dxfId="54"/>
      <tableStyleElement type="headerRow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データ入力!$D$5</c:f>
              <c:strCache>
                <c:ptCount val="1"/>
                <c:pt idx="0">
                  <c:v>金額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データ入力!$B$6:$B$24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データ入力!$D$6:$D$24</c:f>
              <c:numCache>
                <c:formatCode>[$¥-411]#,##0;[$¥-411]#,##0</c:formatCode>
                <c:ptCount val="19"/>
                <c:pt idx="0">
                  <c:v>640000</c:v>
                </c:pt>
                <c:pt idx="1">
                  <c:v>820000</c:v>
                </c:pt>
                <c:pt idx="2">
                  <c:v>440000</c:v>
                </c:pt>
                <c:pt idx="3">
                  <c:v>540000</c:v>
                </c:pt>
                <c:pt idx="4">
                  <c:v>580000</c:v>
                </c:pt>
                <c:pt idx="5">
                  <c:v>620000</c:v>
                </c:pt>
                <c:pt idx="6">
                  <c:v>690000</c:v>
                </c:pt>
                <c:pt idx="7">
                  <c:v>750000</c:v>
                </c:pt>
                <c:pt idx="8">
                  <c:v>870000</c:v>
                </c:pt>
                <c:pt idx="9">
                  <c:v>850000</c:v>
                </c:pt>
                <c:pt idx="10">
                  <c:v>790000</c:v>
                </c:pt>
                <c:pt idx="11">
                  <c:v>910000</c:v>
                </c:pt>
                <c:pt idx="12">
                  <c:v>560000</c:v>
                </c:pt>
                <c:pt idx="13">
                  <c:v>930000</c:v>
                </c:pt>
                <c:pt idx="14">
                  <c:v>880000</c:v>
                </c:pt>
                <c:pt idx="15">
                  <c:v>910000</c:v>
                </c:pt>
                <c:pt idx="16">
                  <c:v>900000</c:v>
                </c:pt>
                <c:pt idx="17">
                  <c:v>750000</c:v>
                </c:pt>
                <c:pt idx="18">
                  <c:v>950000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63-42B6-B84C-737887E1D499}"/>
            </c:ext>
          </c:extLst>
        </c:ser>
        <c:ser>
          <c:idx val="1"/>
          <c:order val="1"/>
          <c:tx>
            <c:strRef>
              <c:f>データ入力!$E$5</c:f>
              <c:strCache>
                <c:ptCount val="1"/>
                <c:pt idx="0">
                  <c:v>計画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データ入力!$B$6:$B$24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データ入力!$E$6:$E$24</c:f>
              <c:numCache>
                <c:formatCode>[$¥-411]#,##0;[$¥-411]#,##0</c:formatCode>
                <c:ptCount val="19"/>
                <c:pt idx="0">
                  <c:v>620000</c:v>
                </c:pt>
                <c:pt idx="1">
                  <c:v>800000</c:v>
                </c:pt>
                <c:pt idx="2">
                  <c:v>420000</c:v>
                </c:pt>
                <c:pt idx="3">
                  <c:v>550000</c:v>
                </c:pt>
                <c:pt idx="4">
                  <c:v>600000</c:v>
                </c:pt>
                <c:pt idx="5">
                  <c:v>600000</c:v>
                </c:pt>
                <c:pt idx="6">
                  <c:v>750000</c:v>
                </c:pt>
                <c:pt idx="7">
                  <c:v>720000</c:v>
                </c:pt>
                <c:pt idx="8">
                  <c:v>850000</c:v>
                </c:pt>
                <c:pt idx="9">
                  <c:v>830000</c:v>
                </c:pt>
                <c:pt idx="10">
                  <c:v>770000</c:v>
                </c:pt>
                <c:pt idx="11">
                  <c:v>890000</c:v>
                </c:pt>
                <c:pt idx="12">
                  <c:v>580000</c:v>
                </c:pt>
                <c:pt idx="13">
                  <c:v>910000</c:v>
                </c:pt>
                <c:pt idx="14">
                  <c:v>935000</c:v>
                </c:pt>
                <c:pt idx="15">
                  <c:v>920000</c:v>
                </c:pt>
                <c:pt idx="16">
                  <c:v>1000000</c:v>
                </c:pt>
                <c:pt idx="17">
                  <c:v>800000</c:v>
                </c:pt>
                <c:pt idx="18">
                  <c:v>920000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3-42B6-B84C-737887E1D499}"/>
            </c:ext>
          </c:extLst>
        </c:ser>
        <c:ser>
          <c:idx val="2"/>
          <c:order val="2"/>
          <c:tx>
            <c:strRef>
              <c:f>データ入力!$F$5</c:f>
              <c:strCache>
                <c:ptCount val="1"/>
                <c:pt idx="0">
                  <c:v>費用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データ入力!$B$6:$B$24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データ入力!$F$6:$F$24</c:f>
              <c:numCache>
                <c:formatCode>[$¥-411]#,##0;[$¥-411]#,##0</c:formatCode>
                <c:ptCount val="19"/>
                <c:pt idx="0">
                  <c:v>445000</c:v>
                </c:pt>
                <c:pt idx="1">
                  <c:v>640000</c:v>
                </c:pt>
                <c:pt idx="2">
                  <c:v>260000</c:v>
                </c:pt>
                <c:pt idx="3">
                  <c:v>450000</c:v>
                </c:pt>
                <c:pt idx="4">
                  <c:v>450000</c:v>
                </c:pt>
                <c:pt idx="5">
                  <c:v>450000</c:v>
                </c:pt>
                <c:pt idx="6">
                  <c:v>540000</c:v>
                </c:pt>
                <c:pt idx="7">
                  <c:v>650000</c:v>
                </c:pt>
                <c:pt idx="8">
                  <c:v>725000</c:v>
                </c:pt>
                <c:pt idx="9">
                  <c:v>710000</c:v>
                </c:pt>
                <c:pt idx="10">
                  <c:v>660000</c:v>
                </c:pt>
                <c:pt idx="11">
                  <c:v>790000</c:v>
                </c:pt>
                <c:pt idx="12">
                  <c:v>450000</c:v>
                </c:pt>
                <c:pt idx="13">
                  <c:v>750000</c:v>
                </c:pt>
                <c:pt idx="14">
                  <c:v>710000</c:v>
                </c:pt>
                <c:pt idx="15">
                  <c:v>785000</c:v>
                </c:pt>
                <c:pt idx="16">
                  <c:v>757500</c:v>
                </c:pt>
                <c:pt idx="17">
                  <c:v>585000</c:v>
                </c:pt>
                <c:pt idx="18">
                  <c:v>850000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63-42B6-B84C-737887E1D499}"/>
            </c:ext>
          </c:extLst>
        </c:ser>
        <c:ser>
          <c:idx val="3"/>
          <c:order val="3"/>
          <c:tx>
            <c:strRef>
              <c:f>データ入力!$G$5</c:f>
              <c:strCache>
                <c:ptCount val="1"/>
                <c:pt idx="0">
                  <c:v>収益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データ入力!$B$6:$B$24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データ入力!$G$6:$G$24</c:f>
              <c:numCache>
                <c:formatCode>[$¥-411]#,##0;[$¥-411]#,##0</c:formatCode>
                <c:ptCount val="19"/>
                <c:pt idx="0">
                  <c:v>195000</c:v>
                </c:pt>
                <c:pt idx="1">
                  <c:v>180000</c:v>
                </c:pt>
                <c:pt idx="2">
                  <c:v>180000</c:v>
                </c:pt>
                <c:pt idx="3">
                  <c:v>90000</c:v>
                </c:pt>
                <c:pt idx="4">
                  <c:v>130000</c:v>
                </c:pt>
                <c:pt idx="5">
                  <c:v>170000</c:v>
                </c:pt>
                <c:pt idx="6">
                  <c:v>150000</c:v>
                </c:pt>
                <c:pt idx="7">
                  <c:v>100000</c:v>
                </c:pt>
                <c:pt idx="8">
                  <c:v>145000</c:v>
                </c:pt>
                <c:pt idx="9">
                  <c:v>140000</c:v>
                </c:pt>
                <c:pt idx="10">
                  <c:v>130000</c:v>
                </c:pt>
                <c:pt idx="11">
                  <c:v>120000</c:v>
                </c:pt>
                <c:pt idx="12">
                  <c:v>110000</c:v>
                </c:pt>
                <c:pt idx="13">
                  <c:v>180000</c:v>
                </c:pt>
                <c:pt idx="14">
                  <c:v>170000</c:v>
                </c:pt>
                <c:pt idx="15">
                  <c:v>125000</c:v>
                </c:pt>
                <c:pt idx="16">
                  <c:v>142500</c:v>
                </c:pt>
                <c:pt idx="17">
                  <c:v>165000</c:v>
                </c:pt>
                <c:pt idx="18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63-42B6-B84C-737887E1D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085328"/>
        <c:axId val="168085872"/>
      </c:lineChart>
      <c:dateAx>
        <c:axId val="168085328"/>
        <c:scaling>
          <c:orientation val="minMax"/>
        </c:scaling>
        <c:delete val="0"/>
        <c:axPos val="b"/>
        <c:numFmt formatCode="yyyy\ &quot;年&quot;\ m\ &quot;月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68085872"/>
        <c:crosses val="autoZero"/>
        <c:auto val="1"/>
        <c:lblOffset val="100"/>
        <c:baseTimeUnit val="days"/>
        <c:majorUnit val="1"/>
        <c:majorTimeUnit val="months"/>
      </c:dateAx>
      <c:valAx>
        <c:axId val="16808587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[$¥-411]#,##0;[$¥-411]#,##0" sourceLinked="1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680853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  <c:txPr>
        <a:bodyPr/>
        <a:lstStyle/>
        <a:p>
          <a:pPr>
            <a:defRPr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データ入力!$O$5</c:f>
              <c:strCache>
                <c:ptCount val="1"/>
                <c:pt idx="0">
                  <c:v>月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データ入力!$B$6:$B$24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データ入力!$O$6:$O$24</c:f>
              <c:numCache>
                <c:formatCode>[$¥-411]#,##0;[$¥-411]#,##0</c:formatCode>
                <c:ptCount val="19"/>
                <c:pt idx="0">
                  <c:v>1460000</c:v>
                </c:pt>
                <c:pt idx="1">
                  <c:v>1460000</c:v>
                </c:pt>
                <c:pt idx="2">
                  <c:v>2900000</c:v>
                </c:pt>
                <c:pt idx="3">
                  <c:v>2900000</c:v>
                </c:pt>
                <c:pt idx="4">
                  <c:v>2900000.0000000005</c:v>
                </c:pt>
                <c:pt idx="5">
                  <c:v>2900000</c:v>
                </c:pt>
                <c:pt idx="6">
                  <c:v>2160000.0000000005</c:v>
                </c:pt>
                <c:pt idx="7">
                  <c:v>1795000</c:v>
                </c:pt>
                <c:pt idx="8">
                  <c:v>1077647.0588235294</c:v>
                </c:pt>
                <c:pt idx="9">
                  <c:v>1245586.2068965519</c:v>
                </c:pt>
                <c:pt idx="10">
                  <c:v>1366756.7567567565</c:v>
                </c:pt>
                <c:pt idx="11">
                  <c:v>1765166.6666666665</c:v>
                </c:pt>
                <c:pt idx="12">
                  <c:v>1987791.1646586345</c:v>
                </c:pt>
                <c:pt idx="13">
                  <c:v>2113805.0314465407</c:v>
                </c:pt>
                <c:pt idx="14">
                  <c:v>1795174.418604651</c:v>
                </c:pt>
                <c:pt idx="15">
                  <c:v>2055613.0108423685</c:v>
                </c:pt>
                <c:pt idx="16">
                  <c:v>2199713.9141742522</c:v>
                </c:pt>
                <c:pt idx="17">
                  <c:v>2291763.4523175284</c:v>
                </c:pt>
                <c:pt idx="18">
                  <c:v>2050431.4720812184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4-4E7D-8956-5803A8E67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326640"/>
        <c:axId val="120327200"/>
      </c:lineChart>
      <c:dateAx>
        <c:axId val="1203266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20327200"/>
        <c:crosses val="autoZero"/>
        <c:auto val="1"/>
        <c:lblOffset val="100"/>
        <c:baseTimeUnit val="days"/>
        <c:majorUnit val="1"/>
        <c:majorTimeUnit val="months"/>
      </c:dateAx>
      <c:valAx>
        <c:axId val="12032720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[$¥-411]#,##0;[$¥-411]#,##0" sourceLinked="1"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03266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データ入力!$P$5</c:f>
              <c:strCache>
                <c:ptCount val="1"/>
                <c:pt idx="0">
                  <c:v>四半期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データ入力!$B$6:$B$24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データ入力!$P$6:$P$24</c:f>
              <c:numCache>
                <c:formatCode>[$¥-411]#,##0;[$¥-411]#,##0</c:formatCode>
                <c:ptCount val="19"/>
                <c:pt idx="0">
                  <c:v>5080000</c:v>
                </c:pt>
                <c:pt idx="1">
                  <c:v>5080000</c:v>
                </c:pt>
                <c:pt idx="2">
                  <c:v>5080000</c:v>
                </c:pt>
                <c:pt idx="3">
                  <c:v>5080000</c:v>
                </c:pt>
                <c:pt idx="4">
                  <c:v>5080000</c:v>
                </c:pt>
                <c:pt idx="5">
                  <c:v>5080000</c:v>
                </c:pt>
                <c:pt idx="6">
                  <c:v>5080000</c:v>
                </c:pt>
                <c:pt idx="7">
                  <c:v>5080000</c:v>
                </c:pt>
                <c:pt idx="8">
                  <c:v>4740000</c:v>
                </c:pt>
                <c:pt idx="9">
                  <c:v>4740000</c:v>
                </c:pt>
                <c:pt idx="10">
                  <c:v>4740000</c:v>
                </c:pt>
                <c:pt idx="11">
                  <c:v>4740000</c:v>
                </c:pt>
                <c:pt idx="12">
                  <c:v>4740000</c:v>
                </c:pt>
                <c:pt idx="13">
                  <c:v>4740000</c:v>
                </c:pt>
                <c:pt idx="14">
                  <c:v>4325813.9534883723</c:v>
                </c:pt>
                <c:pt idx="15">
                  <c:v>4231290.3225806449</c:v>
                </c:pt>
                <c:pt idx="16">
                  <c:v>4181111.1111111115</c:v>
                </c:pt>
                <c:pt idx="17">
                  <c:v>4150000</c:v>
                </c:pt>
                <c:pt idx="18">
                  <c:v>4128823.5294117648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9-49CC-A548-A31C9C43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329440"/>
        <c:axId val="120330000"/>
      </c:lineChart>
      <c:dateAx>
        <c:axId val="1203294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20330000"/>
        <c:crosses val="autoZero"/>
        <c:auto val="1"/>
        <c:lblOffset val="100"/>
        <c:baseTimeUnit val="days"/>
        <c:majorUnit val="1"/>
        <c:majorTimeUnit val="months"/>
      </c:dateAx>
      <c:valAx>
        <c:axId val="12033000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[$¥-411]#,##0;[$¥-411]#,##0" sourceLinked="1"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03294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データ入力!$Q$5</c:f>
              <c:strCache>
                <c:ptCount val="1"/>
                <c:pt idx="0">
                  <c:v>年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データ入力!$B$6:$B$24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データ入力!$Q$6:$Q$24</c:f>
              <c:numCache>
                <c:formatCode>[$¥-411]#,##0;[$¥-411]#,##0</c:formatCode>
                <c:ptCount val="19"/>
                <c:pt idx="0">
                  <c:v>14380000</c:v>
                </c:pt>
                <c:pt idx="1">
                  <c:v>14380000</c:v>
                </c:pt>
                <c:pt idx="2">
                  <c:v>14380000</c:v>
                </c:pt>
                <c:pt idx="3">
                  <c:v>14380000</c:v>
                </c:pt>
                <c:pt idx="4">
                  <c:v>14380000</c:v>
                </c:pt>
                <c:pt idx="5">
                  <c:v>14380000</c:v>
                </c:pt>
                <c:pt idx="6">
                  <c:v>14380000</c:v>
                </c:pt>
                <c:pt idx="7">
                  <c:v>14380000</c:v>
                </c:pt>
                <c:pt idx="8">
                  <c:v>14380000</c:v>
                </c:pt>
                <c:pt idx="9">
                  <c:v>14380000</c:v>
                </c:pt>
                <c:pt idx="10">
                  <c:v>14380000</c:v>
                </c:pt>
                <c:pt idx="11">
                  <c:v>14380000</c:v>
                </c:pt>
                <c:pt idx="12">
                  <c:v>14380000</c:v>
                </c:pt>
                <c:pt idx="13">
                  <c:v>14380000</c:v>
                </c:pt>
                <c:pt idx="14">
                  <c:v>14380000</c:v>
                </c:pt>
                <c:pt idx="15">
                  <c:v>14380000</c:v>
                </c:pt>
                <c:pt idx="16">
                  <c:v>14380000</c:v>
                </c:pt>
                <c:pt idx="17">
                  <c:v>14380000</c:v>
                </c:pt>
                <c:pt idx="18">
                  <c:v>14380000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2-427B-AC33-80F1E8E3F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332240"/>
        <c:axId val="120332800"/>
      </c:lineChart>
      <c:dateAx>
        <c:axId val="1203322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20332800"/>
        <c:crosses val="autoZero"/>
        <c:auto val="1"/>
        <c:lblOffset val="100"/>
        <c:baseTimeUnit val="days"/>
        <c:majorUnit val="1"/>
        <c:majorTimeUnit val="months"/>
      </c:dateAx>
      <c:valAx>
        <c:axId val="12033280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[$¥-411]#,##0;[$¥-411]#,##0" sourceLinked="1"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03322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データ入力!$G$5</c:f>
              <c:strCache>
                <c:ptCount val="1"/>
                <c:pt idx="0">
                  <c:v>収益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データ入力!$B$6:$B$24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データ入力!$G$6:$G$24</c:f>
              <c:numCache>
                <c:formatCode>[$¥-411]#,##0;[$¥-411]#,##0</c:formatCode>
                <c:ptCount val="19"/>
                <c:pt idx="0">
                  <c:v>195000</c:v>
                </c:pt>
                <c:pt idx="1">
                  <c:v>180000</c:v>
                </c:pt>
                <c:pt idx="2">
                  <c:v>180000</c:v>
                </c:pt>
                <c:pt idx="3">
                  <c:v>90000</c:v>
                </c:pt>
                <c:pt idx="4">
                  <c:v>130000</c:v>
                </c:pt>
                <c:pt idx="5">
                  <c:v>170000</c:v>
                </c:pt>
                <c:pt idx="6">
                  <c:v>150000</c:v>
                </c:pt>
                <c:pt idx="7">
                  <c:v>100000</c:v>
                </c:pt>
                <c:pt idx="8">
                  <c:v>145000</c:v>
                </c:pt>
                <c:pt idx="9">
                  <c:v>140000</c:v>
                </c:pt>
                <c:pt idx="10">
                  <c:v>130000</c:v>
                </c:pt>
                <c:pt idx="11">
                  <c:v>120000</c:v>
                </c:pt>
                <c:pt idx="12">
                  <c:v>110000</c:v>
                </c:pt>
                <c:pt idx="13">
                  <c:v>180000</c:v>
                </c:pt>
                <c:pt idx="14">
                  <c:v>170000</c:v>
                </c:pt>
                <c:pt idx="15">
                  <c:v>125000</c:v>
                </c:pt>
                <c:pt idx="16">
                  <c:v>142500</c:v>
                </c:pt>
                <c:pt idx="17">
                  <c:v>165000</c:v>
                </c:pt>
                <c:pt idx="18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6-4282-BECC-E16554B4F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335040"/>
        <c:axId val="120335600"/>
      </c:lineChart>
      <c:dateAx>
        <c:axId val="1203350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20335600"/>
        <c:crosses val="autoZero"/>
        <c:auto val="1"/>
        <c:lblOffset val="100"/>
        <c:baseTimeUnit val="days"/>
        <c:majorUnit val="1"/>
        <c:majorTimeUnit val="months"/>
      </c:dateAx>
      <c:valAx>
        <c:axId val="12033560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[$¥-411]#,##0;[$¥-411]#,##0" sourceLinked="1"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03350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36009;&#22770;&#20104;&#28204;!A1"/><Relationship Id="rId1" Type="http://schemas.openxmlformats.org/officeDocument/2006/relationships/hyperlink" Target="#&#22770;&#19978;&#12524;&#12509;&#12540;&#12488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6009;&#22770;&#20104;&#28204;!A1"/><Relationship Id="rId1" Type="http://schemas.openxmlformats.org/officeDocument/2006/relationships/hyperlink" Target="#&#12487;&#12540;&#12479;&#20837;&#21147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&#22770;&#19978;&#12524;&#12509;&#12540;&#12488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&#12487;&#12540;&#12479;&#20837;&#21147;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売上レポート" descr="クリックして売上レポート シートを表示します。" title="売上レポート移動ボタン">
          <a:hlinkClick xmlns:r="http://schemas.openxmlformats.org/officeDocument/2006/relationships" r:id="rId1" tooltip="クリックして売上レポート シートを表示します。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6301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売上レポート</a:t>
          </a:r>
          <a:endParaRPr lang="en-US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販売予測" descr="クリックして販売予測シートを表示します。" title="販売予測移動ボタン">
          <a:hlinkClick xmlns:r="http://schemas.openxmlformats.org/officeDocument/2006/relationships" r:id="rId2" tooltip="クリックして販売予測シートを表示します。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48350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販売予測</a:t>
          </a:r>
          <a:endParaRPr lang="en-US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1704976</xdr:colOff>
      <xdr:row>1</xdr:row>
      <xdr:rowOff>85725</xdr:rowOff>
    </xdr:from>
    <xdr:to>
      <xdr:col>5</xdr:col>
      <xdr:colOff>563500</xdr:colOff>
      <xdr:row>1</xdr:row>
      <xdr:rowOff>314325</xdr:rowOff>
    </xdr:to>
    <xdr:sp macro="" textlink="">
      <xdr:nvSpPr>
        <xdr:cNvPr id="7" name="売上レポート" descr="クリックしてデータ入力シートを表示します。" title="データ入力移動ボタン">
          <a:hlinkClick xmlns:r="http://schemas.openxmlformats.org/officeDocument/2006/relationships" r:id="rId1" tooltip="クリックしてデータ入力シートを表示します。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676776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データ入力</a:t>
          </a:r>
          <a:endParaRPr lang="en-US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twoCellAnchor>
    <xdr:from>
      <xdr:col>5</xdr:col>
      <xdr:colOff>619125</xdr:colOff>
      <xdr:row>1</xdr:row>
      <xdr:rowOff>85726</xdr:rowOff>
    </xdr:from>
    <xdr:to>
      <xdr:col>6</xdr:col>
      <xdr:colOff>365379</xdr:colOff>
      <xdr:row>1</xdr:row>
      <xdr:rowOff>314326</xdr:rowOff>
    </xdr:to>
    <xdr:sp macro="" textlink="">
      <xdr:nvSpPr>
        <xdr:cNvPr id="8" name="販売予測" descr="クリックして販売予測シートを表示します。" title="販売予測移動ボタン">
          <a:hlinkClick xmlns:r="http://schemas.openxmlformats.org/officeDocument/2006/relationships" r:id="rId2" tooltip="クリックして販売予測シートを表示します。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販売予測</a:t>
          </a:r>
          <a:endParaRPr lang="en-US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販売履歴" descr="販売履歴のグラフ" title="グラフ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月間予測" descr="月間予測のグラフ" title="グラフ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四半期予測" descr="四半期予測のグラフ" title="グラフ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年間予測" descr="年間予測のグラフ" title="グラフ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収益源" descr="収益源のグラフ" title="グラフ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295275</xdr:colOff>
      <xdr:row>1</xdr:row>
      <xdr:rowOff>85725</xdr:rowOff>
    </xdr:from>
    <xdr:to>
      <xdr:col>6</xdr:col>
      <xdr:colOff>487299</xdr:colOff>
      <xdr:row>1</xdr:row>
      <xdr:rowOff>314325</xdr:rowOff>
    </xdr:to>
    <xdr:sp macro="" textlink="">
      <xdr:nvSpPr>
        <xdr:cNvPr id="10" name="売上レポート" descr="クリックしてデータ入力シートを表示します。" title="データ入力移動ボタン">
          <a:hlinkClick xmlns:r="http://schemas.openxmlformats.org/officeDocument/2006/relationships" r:id="rId6" tooltip="クリックしてデータ入力シートを表示します。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467225" y="295275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データ入力</a:t>
          </a:r>
          <a:endParaRPr lang="en-US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twoCellAnchor>
    <xdr:from>
      <xdr:col>6</xdr:col>
      <xdr:colOff>542925</xdr:colOff>
      <xdr:row>1</xdr:row>
      <xdr:rowOff>85726</xdr:rowOff>
    </xdr:from>
    <xdr:to>
      <xdr:col>8</xdr:col>
      <xdr:colOff>3429</xdr:colOff>
      <xdr:row>1</xdr:row>
      <xdr:rowOff>314326</xdr:rowOff>
    </xdr:to>
    <xdr:sp macro="" textlink="">
      <xdr:nvSpPr>
        <xdr:cNvPr id="11" name="販売予測" descr="クリックして販売予測シートを表示します。" title="販売予測移動ボタン">
          <a:hlinkClick xmlns:r="http://schemas.openxmlformats.org/officeDocument/2006/relationships" r:id="rId7" tooltip="クリックして売上レポート シートを表示します。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629275" y="295276"/>
          <a:ext cx="1813179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売上レポート</a:t>
          </a:r>
          <a:endParaRPr lang="en-US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to" refreshedDate="43008.826610995369" createdVersion="5" refreshedVersion="6" minRefreshableVersion="3" recordCount="19">
  <cacheSource type="worksheet">
    <worksheetSource name="tblData"/>
  </cacheSource>
  <cacheFields count="16">
    <cacheField name="日付" numFmtId="14">
      <sharedItems containsSemiMixedTypes="0" containsNonDate="0" containsDate="1" containsString="0" minDate="2013-04-23T00:00:00" maxDate="2013-12-12T00:00:00"/>
    </cacheField>
    <cacheField name="会社" numFmtId="0">
      <sharedItems count="6">
        <s v="山門屋"/>
        <s v="蓬莱堂"/>
        <s v="びしゃもんや"/>
        <s v="肥後株式会社"/>
        <s v="大宮ユニオン"/>
        <s v="ヒロコーポレーション"/>
      </sharedItems>
    </cacheField>
    <cacheField name="金額" numFmtId="178">
      <sharedItems containsSemiMixedTypes="0" containsString="0" containsNumber="1" containsInteger="1" minValue="440000" maxValue="950000"/>
    </cacheField>
    <cacheField name="計画" numFmtId="178">
      <sharedItems containsSemiMixedTypes="0" containsString="0" containsNumber="1" containsInteger="1" minValue="420000" maxValue="1000000"/>
    </cacheField>
    <cacheField name="費用" numFmtId="178">
      <sharedItems containsSemiMixedTypes="0" containsString="0" containsNumber="1" containsInteger="1" minValue="260000" maxValue="850000"/>
    </cacheField>
    <cacheField name="収益" numFmtId="178">
      <sharedItems containsSemiMixedTypes="0" containsString="0" containsNumber="1" containsInteger="1" minValue="90000" maxValue="195000"/>
    </cacheField>
    <cacheField name="月" numFmtId="179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四半期" numFmtId="180">
      <sharedItems containsSemiMixedTypes="0" containsString="0" containsNumber="1" containsInteger="1" minValue="2" maxValue="4" count="3">
        <n v="2"/>
        <n v="3"/>
        <n v="4"/>
      </sharedItems>
    </cacheField>
    <cacheField name="年" numFmtId="0">
      <sharedItems containsSemiMixedTypes="0" containsString="0" containsNumber="1" containsInteger="1" minValue="2013" maxValue="2013" count="1">
        <n v="2013"/>
      </sharedItems>
    </cacheField>
    <cacheField name="MONTH NUM (HIDE)" numFmtId="0">
      <sharedItems containsSemiMixedTypes="0" containsString="0" containsNumber="1" containsInteger="1" minValue="4" maxValue="12"/>
    </cacheField>
    <cacheField name="月 " numFmtId="178">
      <sharedItems containsSemiMixedTypes="0" containsString="0" containsNumber="1" containsInteger="1" minValue="870000" maxValue="2560000"/>
    </cacheField>
    <cacheField name="四半期 " numFmtId="178">
      <sharedItems containsSemiMixedTypes="0" containsString="0" containsNumber="1" containsInteger="1" minValue="4390000" maxValue="5080000"/>
    </cacheField>
    <cacheField name="年間 " numFmtId="178">
      <sharedItems containsSemiMixedTypes="0" containsString="0" containsNumber="1" containsInteger="1" minValue="14380000" maxValue="14380000"/>
    </cacheField>
    <cacheField name="月  " numFmtId="178">
      <sharedItems containsSemiMixedTypes="0" containsString="0" containsNumber="1" minValue="1077647.0588235294" maxValue="2900000.0000000005"/>
    </cacheField>
    <cacheField name="四半期  " numFmtId="178">
      <sharedItems containsSemiMixedTypes="0" containsString="0" containsNumber="1" minValue="4128823.5294117648" maxValue="5080000"/>
    </cacheField>
    <cacheField name="年  " numFmtId="178">
      <sharedItems containsSemiMixedTypes="0" containsString="0" containsNumber="1" containsInteger="1" minValue="14380000" maxValue="1438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00"/>
    <n v="620000"/>
    <n v="445000"/>
    <n v="195000"/>
    <x v="0"/>
    <x v="0"/>
    <x v="0"/>
    <n v="4"/>
    <n v="1460000"/>
    <n v="5080000"/>
    <n v="14380000"/>
    <n v="1460000"/>
    <n v="5080000"/>
    <n v="14380000"/>
  </r>
  <r>
    <d v="2013-04-25T00:00:00"/>
    <x v="1"/>
    <n v="820000"/>
    <n v="800000"/>
    <n v="640000"/>
    <n v="180000"/>
    <x v="0"/>
    <x v="0"/>
    <x v="0"/>
    <n v="4"/>
    <n v="1460000"/>
    <n v="5080000"/>
    <n v="14380000"/>
    <n v="1460000"/>
    <n v="5080000"/>
    <n v="14380000"/>
  </r>
  <r>
    <d v="2013-05-07T00:00:00"/>
    <x v="2"/>
    <n v="440000"/>
    <n v="420000"/>
    <n v="260000"/>
    <n v="180000"/>
    <x v="1"/>
    <x v="0"/>
    <x v="0"/>
    <n v="5"/>
    <n v="2180000"/>
    <n v="5080000"/>
    <n v="14380000"/>
    <n v="2900000"/>
    <n v="5080000"/>
    <n v="14380000"/>
  </r>
  <r>
    <d v="2013-05-14T00:00:00"/>
    <x v="3"/>
    <n v="540000"/>
    <n v="550000"/>
    <n v="450000"/>
    <n v="90000"/>
    <x v="1"/>
    <x v="0"/>
    <x v="0"/>
    <n v="5"/>
    <n v="2180000"/>
    <n v="5080000"/>
    <n v="14380000"/>
    <n v="2900000"/>
    <n v="5080000"/>
    <n v="14380000"/>
  </r>
  <r>
    <d v="2013-05-14T00:00:00"/>
    <x v="4"/>
    <n v="580000"/>
    <n v="600000"/>
    <n v="450000"/>
    <n v="130000"/>
    <x v="1"/>
    <x v="0"/>
    <x v="0"/>
    <n v="5"/>
    <n v="2180000"/>
    <n v="5080000"/>
    <n v="14380000"/>
    <n v="2900000.0000000005"/>
    <n v="5080000"/>
    <n v="14380000"/>
  </r>
  <r>
    <d v="2013-05-29T00:00:00"/>
    <x v="5"/>
    <n v="620000"/>
    <n v="600000"/>
    <n v="450000"/>
    <n v="170000"/>
    <x v="1"/>
    <x v="0"/>
    <x v="0"/>
    <n v="5"/>
    <n v="2180000"/>
    <n v="5080000"/>
    <n v="14380000"/>
    <n v="2900000"/>
    <n v="5080000"/>
    <n v="14380000"/>
  </r>
  <r>
    <d v="2013-06-10T00:00:00"/>
    <x v="0"/>
    <n v="690000"/>
    <n v="750000"/>
    <n v="540000"/>
    <n v="150000"/>
    <x v="2"/>
    <x v="0"/>
    <x v="0"/>
    <n v="6"/>
    <n v="1440000"/>
    <n v="5080000"/>
    <n v="14380000"/>
    <n v="2160000.0000000005"/>
    <n v="5080000"/>
    <n v="14380000"/>
  </r>
  <r>
    <d v="2013-06-21T00:00:00"/>
    <x v="1"/>
    <n v="750000"/>
    <n v="720000"/>
    <n v="650000"/>
    <n v="100000"/>
    <x v="2"/>
    <x v="0"/>
    <x v="0"/>
    <n v="6"/>
    <n v="1440000"/>
    <n v="5080000"/>
    <n v="14380000"/>
    <n v="1795000"/>
    <n v="5080000"/>
    <n v="14380000"/>
  </r>
  <r>
    <d v="2013-07-06T00:00:00"/>
    <x v="2"/>
    <n v="870000"/>
    <n v="850000"/>
    <n v="725000"/>
    <n v="145000"/>
    <x v="3"/>
    <x v="1"/>
    <x v="0"/>
    <n v="7"/>
    <n v="870000"/>
    <n v="4910000"/>
    <n v="14380000"/>
    <n v="1077647.0588235294"/>
    <n v="4740000"/>
    <n v="14380000"/>
  </r>
  <r>
    <d v="2013-08-05T00:00:00"/>
    <x v="3"/>
    <n v="850000"/>
    <n v="830000"/>
    <n v="710000"/>
    <n v="140000"/>
    <x v="4"/>
    <x v="1"/>
    <x v="0"/>
    <n v="8"/>
    <n v="1640000"/>
    <n v="4910000"/>
    <n v="14380000"/>
    <n v="1245586.2068965519"/>
    <n v="4740000"/>
    <n v="14380000"/>
  </r>
  <r>
    <d v="2013-08-19T00:00:00"/>
    <x v="4"/>
    <n v="790000"/>
    <n v="770000"/>
    <n v="660000"/>
    <n v="130000"/>
    <x v="4"/>
    <x v="1"/>
    <x v="0"/>
    <n v="8"/>
    <n v="1640000"/>
    <n v="4910000"/>
    <n v="14380000"/>
    <n v="1366756.7567567565"/>
    <n v="4740000"/>
    <n v="14380000"/>
  </r>
  <r>
    <d v="2013-09-04T00:00:00"/>
    <x v="5"/>
    <n v="910000"/>
    <n v="890000"/>
    <n v="790000"/>
    <n v="120000"/>
    <x v="5"/>
    <x v="1"/>
    <x v="0"/>
    <n v="9"/>
    <n v="2400000"/>
    <n v="4910000"/>
    <n v="14380000"/>
    <n v="1765166.6666666665"/>
    <n v="4740000"/>
    <n v="14380000"/>
  </r>
  <r>
    <d v="2013-09-20T00:00:00"/>
    <x v="1"/>
    <n v="560000"/>
    <n v="580000"/>
    <n v="450000"/>
    <n v="110000"/>
    <x v="5"/>
    <x v="1"/>
    <x v="0"/>
    <n v="9"/>
    <n v="2400000"/>
    <n v="4910000"/>
    <n v="14380000"/>
    <n v="1987791.1646586345"/>
    <n v="4740000"/>
    <n v="14380000"/>
  </r>
  <r>
    <d v="2013-09-25T00:00:00"/>
    <x v="2"/>
    <n v="930000"/>
    <n v="910000"/>
    <n v="750000"/>
    <n v="180000"/>
    <x v="5"/>
    <x v="1"/>
    <x v="0"/>
    <n v="9"/>
    <n v="2400000"/>
    <n v="4910000"/>
    <n v="14380000"/>
    <n v="2113805.0314465407"/>
    <n v="4740000"/>
    <n v="14380000"/>
  </r>
  <r>
    <d v="2013-10-15T00:00:00"/>
    <x v="3"/>
    <n v="880000"/>
    <n v="935000"/>
    <n v="710000"/>
    <n v="170000"/>
    <x v="6"/>
    <x v="2"/>
    <x v="0"/>
    <n v="10"/>
    <n v="880000"/>
    <n v="4390000"/>
    <n v="14380000"/>
    <n v="1795174.418604651"/>
    <n v="4325813.9534883723"/>
    <n v="14380000"/>
  </r>
  <r>
    <d v="2013-11-05T00:00:00"/>
    <x v="4"/>
    <n v="910000"/>
    <n v="920000"/>
    <n v="785000"/>
    <n v="125000"/>
    <x v="7"/>
    <x v="2"/>
    <x v="0"/>
    <n v="11"/>
    <n v="2560000"/>
    <n v="4390000"/>
    <n v="14380000"/>
    <n v="2055613.0108423685"/>
    <n v="4231290.3225806449"/>
    <n v="14380000"/>
  </r>
  <r>
    <d v="2013-11-26T00:00:00"/>
    <x v="5"/>
    <n v="900000"/>
    <n v="1000000"/>
    <n v="757500"/>
    <n v="142500"/>
    <x v="7"/>
    <x v="2"/>
    <x v="0"/>
    <n v="11"/>
    <n v="2560000"/>
    <n v="4390000"/>
    <n v="14380000"/>
    <n v="2199713.9141742522"/>
    <n v="4181111.1111111115"/>
    <n v="14380000"/>
  </r>
  <r>
    <d v="2013-11-30T00:00:00"/>
    <x v="5"/>
    <n v="750000"/>
    <n v="800000"/>
    <n v="585000"/>
    <n v="165000"/>
    <x v="7"/>
    <x v="2"/>
    <x v="0"/>
    <n v="11"/>
    <n v="2560000"/>
    <n v="4390000"/>
    <n v="14380000"/>
    <n v="2291763.4523175284"/>
    <n v="4150000"/>
    <n v="14380000"/>
  </r>
  <r>
    <d v="2013-12-11T00:00:00"/>
    <x v="1"/>
    <n v="950000"/>
    <n v="920000"/>
    <n v="850000"/>
    <n v="100000"/>
    <x v="8"/>
    <x v="2"/>
    <x v="0"/>
    <n v="12"/>
    <n v="950000"/>
    <n v="4390000"/>
    <n v="14380000"/>
    <n v="2050431.4720812184"/>
    <n v="4128823.5294117648"/>
    <n v="1438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6" applyNumberFormats="0" applyBorderFormats="0" applyFontFormats="0" applyPatternFormats="0" applyAlignmentFormats="0" applyWidthHeightFormats="1" dataCaption="Values" updatedVersion="6" minRefreshableVersion="3" showDrill="0" fieldPrintTitles="1" itemPrintTitles="1" createdVersion="4" indent="0" compact="0" compactData="0" multipleFieldFilters="0">
  <location ref="B5:F28" firstHeaderRow="1" firstDataRow="1" firstDataCol="4"/>
  <pivotFields count="16">
    <pivotField compact="0" numFmtId="14" outline="0" showAll="0" defaultSubtotal="0"/>
    <pivotField axis="axisRow" compact="0" outline="0" showAll="0">
      <items count="7">
        <item x="2"/>
        <item x="5"/>
        <item x="0"/>
        <item x="4"/>
        <item x="3"/>
        <item x="1"/>
        <item t="default"/>
      </items>
    </pivotField>
    <pivotField dataField="1" compact="0" numFmtId="178" outline="0" showAll="0" defaultSubtotal="0"/>
    <pivotField compact="0" numFmtId="178" outline="0" showAll="0" defaultSubtotal="0"/>
    <pivotField compact="0" numFmtId="178" outline="0" showAll="0" defaultSubtotal="0"/>
    <pivotField compact="0" numFmtId="178" outline="0" showAll="0" defaultSubtotal="0"/>
    <pivotField axis="axisRow" compact="0" numFmtId="179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77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 defaultSubtotal="0"/>
    <pivotField compact="0" numFmtId="178" outline="0" showAll="0" defaultSubtotal="0"/>
    <pivotField compact="0" numFmtId="178" outline="0" showAll="0" defaultSubtotal="0"/>
    <pivotField compact="0" numFmtId="178" outline="0" showAll="0" defaultSubtotal="0"/>
    <pivotField compact="0" numFmtId="178" outline="0" showAll="0" defaultSubtotal="0"/>
    <pivotField compact="0" numFmtId="178" outline="0" showAll="0" defaultSubtotal="0"/>
    <pivotField compact="0" numFmtId="178" outline="0" showAll="0" defaultSubtotal="0"/>
  </pivotFields>
  <rowFields count="4">
    <field x="8"/>
    <field x="7"/>
    <field x="6"/>
    <field x="1"/>
  </rowFields>
  <rowItems count="23">
    <i>
      <x/>
      <x/>
      <x/>
      <x v="2"/>
    </i>
    <i r="3">
      <x v="5"/>
    </i>
    <i r="2">
      <x v="1"/>
      <x/>
    </i>
    <i r="3">
      <x v="1"/>
    </i>
    <i r="3">
      <x v="3"/>
    </i>
    <i r="3">
      <x v="4"/>
    </i>
    <i r="2">
      <x v="2"/>
      <x v="2"/>
    </i>
    <i r="3">
      <x v="5"/>
    </i>
    <i t="default" r="1">
      <x/>
    </i>
    <i r="1">
      <x v="1"/>
      <x v="3"/>
      <x/>
    </i>
    <i r="2">
      <x v="4"/>
      <x v="3"/>
    </i>
    <i r="3">
      <x v="4"/>
    </i>
    <i r="2">
      <x v="5"/>
      <x/>
    </i>
    <i r="3">
      <x v="1"/>
    </i>
    <i r="3">
      <x v="5"/>
    </i>
    <i t="default" r="1">
      <x v="1"/>
    </i>
    <i r="1">
      <x v="2"/>
      <x v="6"/>
      <x v="4"/>
    </i>
    <i r="2">
      <x v="7"/>
      <x v="1"/>
    </i>
    <i r="3">
      <x v="3"/>
    </i>
    <i r="2">
      <x v="8"/>
      <x v="5"/>
    </i>
    <i t="default" r="1">
      <x v="2"/>
    </i>
    <i t="default">
      <x/>
    </i>
    <i t="grand">
      <x/>
    </i>
  </rowItems>
  <colItems count="1">
    <i/>
  </colItems>
  <dataFields count="1">
    <dataField name="総売上" fld="2" baseField="0" baseItem="0" numFmtId="178"/>
  </dataFields>
  <formats count="14"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axis="axisValues" fieldPosition="0"/>
    </format>
    <format dxfId="25">
      <pivotArea dataOnly="0" labelOnly="1" outline="0" fieldPosition="0">
        <references count="1">
          <reference field="8" count="0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8" count="0"/>
        </references>
      </pivotArea>
    </format>
    <format dxfId="22">
      <pivotArea outline="0" collapsedLevelsAreSubtotals="1" fieldPosition="0"/>
    </format>
    <format dxfId="21">
      <pivotArea outline="0" collapsedLevelsAreSubtotals="1" fieldPosition="0">
        <references count="1">
          <reference field="8" count="0" selected="0" defaultSubtotal="1"/>
        </references>
      </pivotArea>
    </format>
    <format dxfId="20">
      <pivotArea dataOnly="0" labelOnly="1" outline="0" fieldPosition="0">
        <references count="1">
          <reference field="8" count="0" defaultSubtotal="1"/>
        </references>
      </pivotArea>
    </format>
    <format dxfId="19">
      <pivotArea dataOnly="0" labelOnly="1" outline="0" fieldPosition="0">
        <references count="2">
          <reference field="7" count="1">
            <x v="0"/>
          </reference>
          <reference field="8" count="0" selected="0"/>
        </references>
      </pivotArea>
    </format>
    <format dxfId="18">
      <pivotArea dataOnly="0" labelOnly="1" outline="0" fieldPosition="0">
        <references count="2">
          <reference field="7" count="1">
            <x v="1"/>
          </reference>
          <reference field="8" count="0" selected="0"/>
        </references>
      </pivotArea>
    </format>
    <format dxfId="17">
      <pivotArea dataOnly="0" labelOnly="1" outline="0" fieldPosition="0">
        <references count="2">
          <reference field="7" count="1">
            <x v="2"/>
          </reference>
          <reference field="8" count="0" selected="0"/>
        </references>
      </pivotArea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Monthly Sales Report PivotTable" altTextSummary="A PivotTable showing the monthly sales, grouped by Year, Quarter, Month, and Company along with the Total Sales for each group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blData" displayName="tblData" ref="B5:Q24" totalsRowShown="0" headerRowDxfId="52" dataDxfId="51">
  <autoFilter ref="B5:Q24"/>
  <tableColumns count="16">
    <tableColumn id="1" name="日付" dataDxfId="50"/>
    <tableColumn id="2" name="会社" dataDxfId="49"/>
    <tableColumn id="3" name="金額" dataDxfId="48"/>
    <tableColumn id="4" name="計画" dataDxfId="47"/>
    <tableColumn id="5" name="費用" dataDxfId="46"/>
    <tableColumn id="16" name="収益" dataDxfId="45">
      <calculatedColumnFormula>tblData[[#This Row],[金額]]-tblData[[#This Row],[費用]]</calculatedColumnFormula>
    </tableColumn>
    <tableColumn id="6" name="月" dataDxfId="44">
      <calculatedColumnFormula>DATE(YEAR(データ入力!$B6),MONTH(データ入力!$B6),1)</calculatedColumnFormula>
    </tableColumn>
    <tableColumn id="7" name="四半期" dataDxfId="43">
      <calculatedColumnFormula>LOOKUP(MONTH(データ入力!$H6),{1,1;2,1;3,1;4,2;5,2;6,2;7,3;8,3;9,3;10,4;11,4;12,4})</calculatedColumnFormula>
    </tableColumn>
    <tableColumn id="8" name="年" dataDxfId="42">
      <calculatedColumnFormula>YEAR(データ入力!$B6)</calculatedColumnFormula>
    </tableColumn>
    <tableColumn id="12" name="MONTH NUM (HIDE)" dataDxfId="41">
      <calculatedColumnFormula>MONTH(tblData[[#This Row],[日付]])</calculatedColumnFormula>
    </tableColumn>
    <tableColumn id="9" name="月 " dataDxfId="40">
      <calculatedColumnFormula>SUMIFS(tblData[金額],tblData[日付],"&gt;="&amp;EOMONTH(tblData[[#This Row],[日付]],-1)+1,tblData[日付],"&lt;="&amp;EOMONTH(tblData[[#This Row],[日付]],0))</calculatedColumnFormula>
    </tableColumn>
    <tableColumn id="10" name="四半期 " dataDxfId="39">
      <calculatedColumnFormula>SUMIFS(tblData[金額],tblData[日付],"&gt;="&amp;DATE(YEAR(tblData[[#This Row],[日付]]),1,1),tblData[日付],"&lt;="&amp;DATE(YEAR(tblData[[#This Row],[日付]]),12,31),tblData[四半期],tblData[[#This Row],[四半期]])</calculatedColumnFormula>
    </tableColumn>
    <tableColumn id="11" name="年間 " dataDxfId="38">
      <calculatedColumnFormula>SUMIFS(tblData[金額],tblData[日付],"&gt;="&amp;DATE(YEAR(tblData[[#This Row],[日付]]),1,1),tblData[日付],"&lt;="&amp;DATE(YEAR(tblData[[#This Row],[日付]]),12,31))</calculatedColumnFormula>
    </tableColumn>
    <tableColumn id="13" name="月  " dataDxfId="37">
      <calculatedColumnFormula>IFERROR(TREND($L$6:INDEX($L:$L,ROW(),1),$K$6:INDEX($K:$K,ROW(),1),IF(MONTH(tblData[[#This Row],[日付]])=12,13,MONTH(tblData[[#This Row],[日付]])+1)),"")</calculatedColumnFormula>
    </tableColumn>
    <tableColumn id="14" name="四半期  " dataDxfId="36">
      <calculatedColumnFormula>IFERROR(TREND($M$6:INDEX($M:$M,ROW(),1),$I$6:INDEX($I:$I,ROW(),1),IF(tblData[[#This Row],[四半期]]=4,5,tblData[[#This Row],[四半期]]+1)),"")</calculatedColumnFormula>
    </tableColumn>
    <tableColumn id="15" name="年  " dataDxfId="35">
      <calculatedColumnFormula>IFERROR(TREND($N$6:INDEX($N:$N,ROW(),1),$J$6:INDEX($J:$J,ROW(),1),tblData[[#This Row],[年]]+1),"")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月次データ入力表" altTextSummary="日付、会社、数量、計画、費用、収益、月、四半期、年などの月次データをこの表に入力します。現在のデータや予測データが計算されます。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10" customWidth="1"/>
    <col min="2" max="2" width="13.33203125" style="10" customWidth="1"/>
    <col min="3" max="3" width="27.1640625" style="10" customWidth="1"/>
    <col min="4" max="4" width="15.6640625" style="10" customWidth="1"/>
    <col min="5" max="5" width="16.6640625" style="10" customWidth="1"/>
    <col min="6" max="6" width="12.83203125" style="10" customWidth="1"/>
    <col min="7" max="7" width="16.83203125" style="10" customWidth="1"/>
    <col min="8" max="8" width="14.33203125" style="10" customWidth="1"/>
    <col min="9" max="9" width="17.5" style="10" customWidth="1"/>
    <col min="10" max="10" width="12.83203125" style="10" customWidth="1"/>
    <col min="11" max="11" width="12.83203125" style="10" hidden="1" customWidth="1"/>
    <col min="12" max="12" width="13.83203125" style="10" customWidth="1"/>
    <col min="13" max="13" width="16.33203125" style="10" customWidth="1"/>
    <col min="14" max="14" width="13.83203125" style="10" customWidth="1"/>
    <col min="15" max="15" width="14" style="10" customWidth="1"/>
    <col min="16" max="16" width="16.6640625" style="10" customWidth="1"/>
    <col min="17" max="17" width="12.6640625" style="10" customWidth="1"/>
    <col min="18" max="16384" width="9.33203125" style="10"/>
  </cols>
  <sheetData>
    <row r="1" spans="2:17" s="1" customFormat="1" ht="11.25" customHeight="1" x14ac:dyDescent="0.2">
      <c r="J1" s="1">
        <f>365*2</f>
        <v>730</v>
      </c>
    </row>
    <row r="2" spans="2:17" s="1" customFormat="1" ht="33.75" customHeight="1" x14ac:dyDescent="0.2">
      <c r="B2" s="2" t="s">
        <v>54</v>
      </c>
    </row>
    <row r="3" spans="2:17" s="1" customFormat="1" ht="17.25" customHeight="1" x14ac:dyDescent="0.2">
      <c r="L3" s="3" t="s">
        <v>19</v>
      </c>
      <c r="M3" s="4"/>
      <c r="N3" s="4"/>
      <c r="O3" s="3" t="s">
        <v>18</v>
      </c>
      <c r="P3" s="4"/>
      <c r="Q3" s="4"/>
    </row>
    <row r="4" spans="2:17" s="1" customFormat="1" ht="11.25" customHeight="1" x14ac:dyDescent="0.2">
      <c r="L4" s="5"/>
      <c r="M4" s="6"/>
      <c r="N4" s="7"/>
      <c r="O4" s="5"/>
      <c r="P4" s="6"/>
      <c r="Q4" s="7"/>
    </row>
    <row r="5" spans="2:17" ht="17.25" customHeight="1" x14ac:dyDescent="0.2">
      <c r="B5" s="8" t="s">
        <v>4</v>
      </c>
      <c r="C5" s="8" t="s">
        <v>5</v>
      </c>
      <c r="D5" s="9" t="s">
        <v>6</v>
      </c>
      <c r="E5" s="9" t="s">
        <v>53</v>
      </c>
      <c r="F5" s="9" t="s">
        <v>52</v>
      </c>
      <c r="G5" s="9" t="s">
        <v>7</v>
      </c>
      <c r="H5" s="9" t="s">
        <v>8</v>
      </c>
      <c r="I5" s="9" t="s">
        <v>51</v>
      </c>
      <c r="J5" s="9" t="s">
        <v>10</v>
      </c>
      <c r="K5" s="9" t="s">
        <v>1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</row>
    <row r="6" spans="2:17" ht="17.25" customHeight="1" x14ac:dyDescent="0.2">
      <c r="B6" s="11">
        <f>40657+(365*2)</f>
        <v>41387</v>
      </c>
      <c r="C6" s="12" t="s">
        <v>20</v>
      </c>
      <c r="D6" s="15">
        <v>640000</v>
      </c>
      <c r="E6" s="15">
        <v>620000</v>
      </c>
      <c r="F6" s="15">
        <v>445000</v>
      </c>
      <c r="G6" s="16">
        <f>tblData[[#This Row],[金額]]-tblData[[#This Row],[費用]]</f>
        <v>195000</v>
      </c>
      <c r="H6" s="19">
        <f>DATE(YEAR(データ入力!$B6),MONTH(データ入力!$B6),1)</f>
        <v>41365</v>
      </c>
      <c r="I6" s="65">
        <f>LOOKUP(MONTH(データ入力!$H6),{1,1;2,1;3,1;4,2;5,2;6,2;7,3;8,3;9,3;10,4;11,4;12,4})</f>
        <v>2</v>
      </c>
      <c r="J6" s="13">
        <f>YEAR(データ入力!$B6)</f>
        <v>2013</v>
      </c>
      <c r="K6" s="14">
        <f>MONTH(tblData[[#This Row],[日付]])</f>
        <v>4</v>
      </c>
      <c r="L6" s="17">
        <f>SUMIFS(tblData[金額],tblData[日付],"&gt;="&amp;EOMONTH(tblData[[#This Row],[日付]],-1)+1,tblData[日付],"&lt;="&amp;EOMONTH(tblData[[#This Row],[日付]],0))</f>
        <v>1460000</v>
      </c>
      <c r="M6" s="17">
        <f>SUMIFS(tblData[金額],tblData[日付],"&gt;="&amp;DATE(YEAR(tblData[[#This Row],[日付]]),1,1),tblData[日付],"&lt;="&amp;DATE(YEAR(tblData[[#This Row],[日付]]),12,31),tblData[四半期],tblData[[#This Row],[四半期]])</f>
        <v>5080000</v>
      </c>
      <c r="N6" s="17">
        <f>SUMIFS(tblData[金額],tblData[日付],"&gt;="&amp;DATE(YEAR(tblData[[#This Row],[日付]]),1,1),tblData[日付],"&lt;="&amp;DATE(YEAR(tblData[[#This Row],[日付]]),12,31))</f>
        <v>14380000</v>
      </c>
      <c r="O6" s="18">
        <f>IFERROR(TREND($L$6:INDEX($L:$L,ROW(),1),$K$6:INDEX($K:$K,ROW(),1),IF(MONTH(tblData[[#This Row],[日付]])=12,13,MONTH(tblData[[#This Row],[日付]])+1)),"")</f>
        <v>1460000</v>
      </c>
      <c r="P6" s="18">
        <f>IFERROR(TREND($M$6:INDEX($M:$M,ROW(),1),$I$6:INDEX($I:$I,ROW(),1),IF(tblData[[#This Row],[四半期]]=4,5,tblData[[#This Row],[四半期]]+1)),"")</f>
        <v>5080000</v>
      </c>
      <c r="Q6" s="18">
        <f>IFERROR(TREND($N$6:INDEX($N:$N,ROW(),1),$J$6:INDEX($J:$J,ROW(),1),tblData[[#This Row],[年]]+1),"")</f>
        <v>14380000</v>
      </c>
    </row>
    <row r="7" spans="2:17" ht="17.25" customHeight="1" x14ac:dyDescent="0.2">
      <c r="B7" s="11">
        <f>40659+(365*2)</f>
        <v>41389</v>
      </c>
      <c r="C7" s="12" t="s">
        <v>21</v>
      </c>
      <c r="D7" s="15">
        <v>820000</v>
      </c>
      <c r="E7" s="15">
        <v>800000</v>
      </c>
      <c r="F7" s="15">
        <v>640000</v>
      </c>
      <c r="G7" s="16">
        <f>tblData[[#This Row],[金額]]-tblData[[#This Row],[費用]]</f>
        <v>180000</v>
      </c>
      <c r="H7" s="19">
        <f>DATE(YEAR(データ入力!$B7),MONTH(データ入力!$B7),1)</f>
        <v>41365</v>
      </c>
      <c r="I7" s="65">
        <f>LOOKUP(MONTH(データ入力!$H7),{1,1;2,1;3,1;4,2;5,2;6,2;7,3;8,3;9,3;10,4;11,4;12,4})</f>
        <v>2</v>
      </c>
      <c r="J7" s="13">
        <f>YEAR(データ入力!$B7)</f>
        <v>2013</v>
      </c>
      <c r="K7" s="14">
        <f>MONTH(tblData[[#This Row],[日付]])</f>
        <v>4</v>
      </c>
      <c r="L7" s="17">
        <f>SUMIFS(tblData[金額],tblData[日付],"&gt;="&amp;EOMONTH(tblData[[#This Row],[日付]],-1)+1,tblData[日付],"&lt;="&amp;EOMONTH(tblData[[#This Row],[日付]],0))</f>
        <v>1460000</v>
      </c>
      <c r="M7" s="17">
        <f>SUMIFS(tblData[金額],tblData[日付],"&gt;="&amp;DATE(YEAR(tblData[[#This Row],[日付]]),1,1),tblData[日付],"&lt;="&amp;DATE(YEAR(tblData[[#This Row],[日付]]),12,31),tblData[四半期],tblData[[#This Row],[四半期]])</f>
        <v>5080000</v>
      </c>
      <c r="N7" s="17">
        <f>SUMIFS(tblData[金額],tblData[日付],"&gt;="&amp;DATE(YEAR(tblData[[#This Row],[日付]]),1,1),tblData[日付],"&lt;="&amp;DATE(YEAR(tblData[[#This Row],[日付]]),12,31))</f>
        <v>14380000</v>
      </c>
      <c r="O7" s="18">
        <f>IFERROR(TREND($L$6:INDEX($L:$L,ROW(),1),$K$6:INDEX($K:$K,ROW(),1),IF(MONTH(tblData[[#This Row],[日付]])=12,13,MONTH(tblData[[#This Row],[日付]])+1)),"")</f>
        <v>1460000</v>
      </c>
      <c r="P7" s="18">
        <f>IFERROR(TREND($M$6:INDEX($M:$M,ROW(),1),$I$6:INDEX($I:$I,ROW(),1),IF(tblData[[#This Row],[四半期]]=4,5,tblData[[#This Row],[四半期]]+1)),"")</f>
        <v>5080000</v>
      </c>
      <c r="Q7" s="18">
        <f>IFERROR(TREND($N$6:INDEX($N:$N,ROW(),1),$J$6:INDEX($J:$J,ROW(),1),tblData[[#This Row],[年]]+1),"")</f>
        <v>14380000</v>
      </c>
    </row>
    <row r="8" spans="2:17" ht="17.25" customHeight="1" x14ac:dyDescent="0.2">
      <c r="B8" s="11">
        <f>40671+(365*2)</f>
        <v>41401</v>
      </c>
      <c r="C8" s="12" t="s">
        <v>22</v>
      </c>
      <c r="D8" s="15">
        <v>440000</v>
      </c>
      <c r="E8" s="15">
        <v>420000</v>
      </c>
      <c r="F8" s="15">
        <v>260000</v>
      </c>
      <c r="G8" s="16">
        <f>tblData[[#This Row],[金額]]-tblData[[#This Row],[費用]]</f>
        <v>180000</v>
      </c>
      <c r="H8" s="19">
        <f>DATE(YEAR(データ入力!$B8),MONTH(データ入力!$B8),1)</f>
        <v>41395</v>
      </c>
      <c r="I8" s="65">
        <f>LOOKUP(MONTH(データ入力!$H8),{1,1;2,1;3,1;4,2;5,2;6,2;7,3;8,3;9,3;10,4;11,4;12,4})</f>
        <v>2</v>
      </c>
      <c r="J8" s="13">
        <f>YEAR(データ入力!$B8)</f>
        <v>2013</v>
      </c>
      <c r="K8" s="14">
        <f>MONTH(tblData[[#This Row],[日付]])</f>
        <v>5</v>
      </c>
      <c r="L8" s="17">
        <f>SUMIFS(tblData[金額],tblData[日付],"&gt;="&amp;EOMONTH(tblData[[#This Row],[日付]],-1)+1,tblData[日付],"&lt;="&amp;EOMONTH(tblData[[#This Row],[日付]],0))</f>
        <v>2180000</v>
      </c>
      <c r="M8" s="17">
        <f>SUMIFS(tblData[金額],tblData[日付],"&gt;="&amp;DATE(YEAR(tblData[[#This Row],[日付]]),1,1),tblData[日付],"&lt;="&amp;DATE(YEAR(tblData[[#This Row],[日付]]),12,31),tblData[四半期],tblData[[#This Row],[四半期]])</f>
        <v>5080000</v>
      </c>
      <c r="N8" s="17">
        <f>SUMIFS(tblData[金額],tblData[日付],"&gt;="&amp;DATE(YEAR(tblData[[#This Row],[日付]]),1,1),tblData[日付],"&lt;="&amp;DATE(YEAR(tblData[[#This Row],[日付]]),12,31))</f>
        <v>14380000</v>
      </c>
      <c r="O8" s="18">
        <f>IFERROR(TREND($L$6:INDEX($L:$L,ROW(),1),$K$6:INDEX($K:$K,ROW(),1),IF(MONTH(tblData[[#This Row],[日付]])=12,13,MONTH(tblData[[#This Row],[日付]])+1)),"")</f>
        <v>2900000</v>
      </c>
      <c r="P8" s="18">
        <f>IFERROR(TREND($M$6:INDEX($M:$M,ROW(),1),$I$6:INDEX($I:$I,ROW(),1),IF(tblData[[#This Row],[四半期]]=4,5,tblData[[#This Row],[四半期]]+1)),"")</f>
        <v>5080000</v>
      </c>
      <c r="Q8" s="18">
        <f>IFERROR(TREND($N$6:INDEX($N:$N,ROW(),1),$J$6:INDEX($J:$J,ROW(),1),tblData[[#This Row],[年]]+1),"")</f>
        <v>14380000</v>
      </c>
    </row>
    <row r="9" spans="2:17" ht="17.25" customHeight="1" x14ac:dyDescent="0.2">
      <c r="B9" s="11">
        <f>40678+(365*2)</f>
        <v>41408</v>
      </c>
      <c r="C9" s="12" t="s">
        <v>23</v>
      </c>
      <c r="D9" s="15">
        <v>540000</v>
      </c>
      <c r="E9" s="15">
        <v>550000</v>
      </c>
      <c r="F9" s="15">
        <v>450000</v>
      </c>
      <c r="G9" s="16">
        <f>tblData[[#This Row],[金額]]-tblData[[#This Row],[費用]]</f>
        <v>90000</v>
      </c>
      <c r="H9" s="19">
        <f>DATE(YEAR(データ入力!$B9),MONTH(データ入力!$B9),1)</f>
        <v>41395</v>
      </c>
      <c r="I9" s="65">
        <f>LOOKUP(MONTH(データ入力!$H9),{1,1;2,1;3,1;4,2;5,2;6,2;7,3;8,3;9,3;10,4;11,4;12,4})</f>
        <v>2</v>
      </c>
      <c r="J9" s="13">
        <f>YEAR(データ入力!$B9)</f>
        <v>2013</v>
      </c>
      <c r="K9" s="14">
        <f>MONTH(tblData[[#This Row],[日付]])</f>
        <v>5</v>
      </c>
      <c r="L9" s="17">
        <f>SUMIFS(tblData[金額],tblData[日付],"&gt;="&amp;EOMONTH(tblData[[#This Row],[日付]],-1)+1,tblData[日付],"&lt;="&amp;EOMONTH(tblData[[#This Row],[日付]],0))</f>
        <v>2180000</v>
      </c>
      <c r="M9" s="17">
        <f>SUMIFS(tblData[金額],tblData[日付],"&gt;="&amp;DATE(YEAR(tblData[[#This Row],[日付]]),1,1),tblData[日付],"&lt;="&amp;DATE(YEAR(tblData[[#This Row],[日付]]),12,31),tblData[四半期],tblData[[#This Row],[四半期]])</f>
        <v>5080000</v>
      </c>
      <c r="N9" s="17">
        <f>SUMIFS(tblData[金額],tblData[日付],"&gt;="&amp;DATE(YEAR(tblData[[#This Row],[日付]]),1,1),tblData[日付],"&lt;="&amp;DATE(YEAR(tblData[[#This Row],[日付]]),12,31))</f>
        <v>14380000</v>
      </c>
      <c r="O9" s="18">
        <f>IFERROR(TREND($L$6:INDEX($L:$L,ROW(),1),$K$6:INDEX($K:$K,ROW(),1),IF(MONTH(tblData[[#This Row],[日付]])=12,13,MONTH(tblData[[#This Row],[日付]])+1)),"")</f>
        <v>2900000</v>
      </c>
      <c r="P9" s="18">
        <f>IFERROR(TREND($M$6:INDEX($M:$M,ROW(),1),$I$6:INDEX($I:$I,ROW(),1),IF(tblData[[#This Row],[四半期]]=4,5,tblData[[#This Row],[四半期]]+1)),"")</f>
        <v>5080000</v>
      </c>
      <c r="Q9" s="18">
        <f>IFERROR(TREND($N$6:INDEX($N:$N,ROW(),1),$J$6:INDEX($J:$J,ROW(),1),tblData[[#This Row],[年]]+1),"")</f>
        <v>14380000</v>
      </c>
    </row>
    <row r="10" spans="2:17" ht="17.25" customHeight="1" x14ac:dyDescent="0.2">
      <c r="B10" s="11">
        <f>40678+(365*2)</f>
        <v>41408</v>
      </c>
      <c r="C10" s="12" t="s">
        <v>24</v>
      </c>
      <c r="D10" s="15">
        <v>580000</v>
      </c>
      <c r="E10" s="15">
        <v>600000</v>
      </c>
      <c r="F10" s="15">
        <v>450000</v>
      </c>
      <c r="G10" s="16">
        <f>tblData[[#This Row],[金額]]-tblData[[#This Row],[費用]]</f>
        <v>130000</v>
      </c>
      <c r="H10" s="19">
        <f>DATE(YEAR(データ入力!$B10),MONTH(データ入力!$B10),1)</f>
        <v>41395</v>
      </c>
      <c r="I10" s="65">
        <f>LOOKUP(MONTH(データ入力!$H10),{1,1;2,1;3,1;4,2;5,2;6,2;7,3;8,3;9,3;10,4;11,4;12,4})</f>
        <v>2</v>
      </c>
      <c r="J10" s="13">
        <f>YEAR(データ入力!$B10)</f>
        <v>2013</v>
      </c>
      <c r="K10" s="14">
        <f>MONTH(tblData[[#This Row],[日付]])</f>
        <v>5</v>
      </c>
      <c r="L10" s="17">
        <f>SUMIFS(tblData[金額],tblData[日付],"&gt;="&amp;EOMONTH(tblData[[#This Row],[日付]],-1)+1,tblData[日付],"&lt;="&amp;EOMONTH(tblData[[#This Row],[日付]],0))</f>
        <v>2180000</v>
      </c>
      <c r="M10" s="17">
        <f>SUMIFS(tblData[金額],tblData[日付],"&gt;="&amp;DATE(YEAR(tblData[[#This Row],[日付]]),1,1),tblData[日付],"&lt;="&amp;DATE(YEAR(tblData[[#This Row],[日付]]),12,31),tblData[四半期],tblData[[#This Row],[四半期]])</f>
        <v>5080000</v>
      </c>
      <c r="N10" s="17">
        <f>SUMIFS(tblData[金額],tblData[日付],"&gt;="&amp;DATE(YEAR(tblData[[#This Row],[日付]]),1,1),tblData[日付],"&lt;="&amp;DATE(YEAR(tblData[[#This Row],[日付]]),12,31))</f>
        <v>14380000</v>
      </c>
      <c r="O10" s="18">
        <f>IFERROR(TREND($L$6:INDEX($L:$L,ROW(),1),$K$6:INDEX($K:$K,ROW(),1),IF(MONTH(tblData[[#This Row],[日付]])=12,13,MONTH(tblData[[#This Row],[日付]])+1)),"")</f>
        <v>2900000.0000000005</v>
      </c>
      <c r="P10" s="18">
        <f>IFERROR(TREND($M$6:INDEX($M:$M,ROW(),1),$I$6:INDEX($I:$I,ROW(),1),IF(tblData[[#This Row],[四半期]]=4,5,tblData[[#This Row],[四半期]]+1)),"")</f>
        <v>5080000</v>
      </c>
      <c r="Q10" s="18">
        <f>IFERROR(TREND($N$6:INDEX($N:$N,ROW(),1),$J$6:INDEX($J:$J,ROW(),1),tblData[[#This Row],[年]]+1),"")</f>
        <v>14380000</v>
      </c>
    </row>
    <row r="11" spans="2:17" ht="17.25" customHeight="1" x14ac:dyDescent="0.2">
      <c r="B11" s="11">
        <f>40693+(365*2)</f>
        <v>41423</v>
      </c>
      <c r="C11" s="12" t="s">
        <v>25</v>
      </c>
      <c r="D11" s="15">
        <v>620000</v>
      </c>
      <c r="E11" s="15">
        <v>600000</v>
      </c>
      <c r="F11" s="15">
        <v>450000</v>
      </c>
      <c r="G11" s="16">
        <f>tblData[[#This Row],[金額]]-tblData[[#This Row],[費用]]</f>
        <v>170000</v>
      </c>
      <c r="H11" s="19">
        <f>DATE(YEAR(データ入力!$B11),MONTH(データ入力!$B11),1)</f>
        <v>41395</v>
      </c>
      <c r="I11" s="65">
        <f>LOOKUP(MONTH(データ入力!$H11),{1,1;2,1;3,1;4,2;5,2;6,2;7,3;8,3;9,3;10,4;11,4;12,4})</f>
        <v>2</v>
      </c>
      <c r="J11" s="13">
        <f>YEAR(データ入力!$B11)</f>
        <v>2013</v>
      </c>
      <c r="K11" s="14">
        <f>MONTH(tblData[[#This Row],[日付]])</f>
        <v>5</v>
      </c>
      <c r="L11" s="17">
        <f>SUMIFS(tblData[金額],tblData[日付],"&gt;="&amp;EOMONTH(tblData[[#This Row],[日付]],-1)+1,tblData[日付],"&lt;="&amp;EOMONTH(tblData[[#This Row],[日付]],0))</f>
        <v>2180000</v>
      </c>
      <c r="M11" s="17">
        <f>SUMIFS(tblData[金額],tblData[日付],"&gt;="&amp;DATE(YEAR(tblData[[#This Row],[日付]]),1,1),tblData[日付],"&lt;="&amp;DATE(YEAR(tblData[[#This Row],[日付]]),12,31),tblData[四半期],tblData[[#This Row],[四半期]])</f>
        <v>5080000</v>
      </c>
      <c r="N11" s="17">
        <f>SUMIFS(tblData[金額],tblData[日付],"&gt;="&amp;DATE(YEAR(tblData[[#This Row],[日付]]),1,1),tblData[日付],"&lt;="&amp;DATE(YEAR(tblData[[#This Row],[日付]]),12,31))</f>
        <v>14380000</v>
      </c>
      <c r="O11" s="18">
        <f>IFERROR(TREND($L$6:INDEX($L:$L,ROW(),1),$K$6:INDEX($K:$K,ROW(),1),IF(MONTH(tblData[[#This Row],[日付]])=12,13,MONTH(tblData[[#This Row],[日付]])+1)),"")</f>
        <v>2900000</v>
      </c>
      <c r="P11" s="18">
        <f>IFERROR(TREND($M$6:INDEX($M:$M,ROW(),1),$I$6:INDEX($I:$I,ROW(),1),IF(tblData[[#This Row],[四半期]]=4,5,tblData[[#This Row],[四半期]]+1)),"")</f>
        <v>5080000</v>
      </c>
      <c r="Q11" s="18">
        <f>IFERROR(TREND($N$6:INDEX($N:$N,ROW(),1),$J$6:INDEX($J:$J,ROW(),1),tblData[[#This Row],[年]]+1),"")</f>
        <v>14380000</v>
      </c>
    </row>
    <row r="12" spans="2:17" ht="17.25" customHeight="1" x14ac:dyDescent="0.2">
      <c r="B12" s="11">
        <f>40705+(365*2)</f>
        <v>41435</v>
      </c>
      <c r="C12" s="12" t="s">
        <v>20</v>
      </c>
      <c r="D12" s="15">
        <v>690000</v>
      </c>
      <c r="E12" s="15">
        <v>750000</v>
      </c>
      <c r="F12" s="15">
        <v>540000</v>
      </c>
      <c r="G12" s="16">
        <f>tblData[[#This Row],[金額]]-tblData[[#This Row],[費用]]</f>
        <v>150000</v>
      </c>
      <c r="H12" s="19">
        <f>DATE(YEAR(データ入力!$B12),MONTH(データ入力!$B12),1)</f>
        <v>41426</v>
      </c>
      <c r="I12" s="65">
        <f>LOOKUP(MONTH(データ入力!$H12),{1,1;2,1;3,1;4,2;5,2;6,2;7,3;8,3;9,3;10,4;11,4;12,4})</f>
        <v>2</v>
      </c>
      <c r="J12" s="13">
        <f>YEAR(データ入力!$B12)</f>
        <v>2013</v>
      </c>
      <c r="K12" s="14">
        <f>MONTH(tblData[[#This Row],[日付]])</f>
        <v>6</v>
      </c>
      <c r="L12" s="17">
        <f>SUMIFS(tblData[金額],tblData[日付],"&gt;="&amp;EOMONTH(tblData[[#This Row],[日付]],-1)+1,tblData[日付],"&lt;="&amp;EOMONTH(tblData[[#This Row],[日付]],0))</f>
        <v>1440000</v>
      </c>
      <c r="M12" s="17">
        <f>SUMIFS(tblData[金額],tblData[日付],"&gt;="&amp;DATE(YEAR(tblData[[#This Row],[日付]]),1,1),tblData[日付],"&lt;="&amp;DATE(YEAR(tblData[[#This Row],[日付]]),12,31),tblData[四半期],tblData[[#This Row],[四半期]])</f>
        <v>5080000</v>
      </c>
      <c r="N12" s="17">
        <f>SUMIFS(tblData[金額],tblData[日付],"&gt;="&amp;DATE(YEAR(tblData[[#This Row],[日付]]),1,1),tblData[日付],"&lt;="&amp;DATE(YEAR(tblData[[#This Row],[日付]]),12,31))</f>
        <v>14380000</v>
      </c>
      <c r="O12" s="18">
        <f>IFERROR(TREND($L$6:INDEX($L:$L,ROW(),1),$K$6:INDEX($K:$K,ROW(),1),IF(MONTH(tblData[[#This Row],[日付]])=12,13,MONTH(tblData[[#This Row],[日付]])+1)),"")</f>
        <v>2160000.0000000005</v>
      </c>
      <c r="P12" s="18">
        <f>IFERROR(TREND($M$6:INDEX($M:$M,ROW(),1),$I$6:INDEX($I:$I,ROW(),1),IF(tblData[[#This Row],[四半期]]=4,5,tblData[[#This Row],[四半期]]+1)),"")</f>
        <v>5080000</v>
      </c>
      <c r="Q12" s="18">
        <f>IFERROR(TREND($N$6:INDEX($N:$N,ROW(),1),$J$6:INDEX($J:$J,ROW(),1),tblData[[#This Row],[年]]+1),"")</f>
        <v>14380000</v>
      </c>
    </row>
    <row r="13" spans="2:17" ht="17.25" customHeight="1" x14ac:dyDescent="0.2">
      <c r="B13" s="11">
        <f>40716+(365*2)</f>
        <v>41446</v>
      </c>
      <c r="C13" s="12" t="s">
        <v>21</v>
      </c>
      <c r="D13" s="15">
        <v>750000</v>
      </c>
      <c r="E13" s="15">
        <v>720000</v>
      </c>
      <c r="F13" s="15">
        <v>650000</v>
      </c>
      <c r="G13" s="16">
        <f>tblData[[#This Row],[金額]]-tblData[[#This Row],[費用]]</f>
        <v>100000</v>
      </c>
      <c r="H13" s="19">
        <f>DATE(YEAR(データ入力!$B13),MONTH(データ入力!$B13),1)</f>
        <v>41426</v>
      </c>
      <c r="I13" s="65">
        <f>LOOKUP(MONTH(データ入力!$H13),{1,1;2,1;3,1;4,2;5,2;6,2;7,3;8,3;9,3;10,4;11,4;12,4})</f>
        <v>2</v>
      </c>
      <c r="J13" s="13">
        <f>YEAR(データ入力!$B13)</f>
        <v>2013</v>
      </c>
      <c r="K13" s="14">
        <f>MONTH(tblData[[#This Row],[日付]])</f>
        <v>6</v>
      </c>
      <c r="L13" s="17">
        <f>SUMIFS(tblData[金額],tblData[日付],"&gt;="&amp;EOMONTH(tblData[[#This Row],[日付]],-1)+1,tblData[日付],"&lt;="&amp;EOMONTH(tblData[[#This Row],[日付]],0))</f>
        <v>1440000</v>
      </c>
      <c r="M13" s="17">
        <f>SUMIFS(tblData[金額],tblData[日付],"&gt;="&amp;DATE(YEAR(tblData[[#This Row],[日付]]),1,1),tblData[日付],"&lt;="&amp;DATE(YEAR(tblData[[#This Row],[日付]]),12,31),tblData[四半期],tblData[[#This Row],[四半期]])</f>
        <v>5080000</v>
      </c>
      <c r="N13" s="17">
        <f>SUMIFS(tblData[金額],tblData[日付],"&gt;="&amp;DATE(YEAR(tblData[[#This Row],[日付]]),1,1),tblData[日付],"&lt;="&amp;DATE(YEAR(tblData[[#This Row],[日付]]),12,31))</f>
        <v>14380000</v>
      </c>
      <c r="O13" s="18">
        <f>IFERROR(TREND($L$6:INDEX($L:$L,ROW(),1),$K$6:INDEX($K:$K,ROW(),1),IF(MONTH(tblData[[#This Row],[日付]])=12,13,MONTH(tblData[[#This Row],[日付]])+1)),"")</f>
        <v>1795000</v>
      </c>
      <c r="P13" s="18">
        <f>IFERROR(TREND($M$6:INDEX($M:$M,ROW(),1),$I$6:INDEX($I:$I,ROW(),1),IF(tblData[[#This Row],[四半期]]=4,5,tblData[[#This Row],[四半期]]+1)),"")</f>
        <v>5080000</v>
      </c>
      <c r="Q13" s="18">
        <f>IFERROR(TREND($N$6:INDEX($N:$N,ROW(),1),$J$6:INDEX($J:$J,ROW(),1),tblData[[#This Row],[年]]+1),"")</f>
        <v>14380000</v>
      </c>
    </row>
    <row r="14" spans="2:17" ht="17.25" customHeight="1" x14ac:dyDescent="0.2">
      <c r="B14" s="11">
        <f>40731+(365*2)</f>
        <v>41461</v>
      </c>
      <c r="C14" s="12" t="s">
        <v>22</v>
      </c>
      <c r="D14" s="15">
        <v>870000</v>
      </c>
      <c r="E14" s="15">
        <v>850000</v>
      </c>
      <c r="F14" s="15">
        <v>725000</v>
      </c>
      <c r="G14" s="16">
        <f>tblData[[#This Row],[金額]]-tblData[[#This Row],[費用]]</f>
        <v>145000</v>
      </c>
      <c r="H14" s="19">
        <f>DATE(YEAR(データ入力!$B14),MONTH(データ入力!$B14),1)</f>
        <v>41456</v>
      </c>
      <c r="I14" s="65">
        <f>LOOKUP(MONTH(データ入力!$H14),{1,1;2,1;3,1;4,2;5,2;6,2;7,3;8,3;9,3;10,4;11,4;12,4})</f>
        <v>3</v>
      </c>
      <c r="J14" s="13">
        <f>YEAR(データ入力!$B14)</f>
        <v>2013</v>
      </c>
      <c r="K14" s="14">
        <f>MONTH(tblData[[#This Row],[日付]])</f>
        <v>7</v>
      </c>
      <c r="L14" s="17">
        <f>SUMIFS(tblData[金額],tblData[日付],"&gt;="&amp;EOMONTH(tblData[[#This Row],[日付]],-1)+1,tblData[日付],"&lt;="&amp;EOMONTH(tblData[[#This Row],[日付]],0))</f>
        <v>870000</v>
      </c>
      <c r="M14" s="17">
        <f>SUMIFS(tblData[金額],tblData[日付],"&gt;="&amp;DATE(YEAR(tblData[[#This Row],[日付]]),1,1),tblData[日付],"&lt;="&amp;DATE(YEAR(tblData[[#This Row],[日付]]),12,31),tblData[四半期],tblData[[#This Row],[四半期]])</f>
        <v>4910000</v>
      </c>
      <c r="N14" s="17">
        <f>SUMIFS(tblData[金額],tblData[日付],"&gt;="&amp;DATE(YEAR(tblData[[#This Row],[日付]]),1,1),tblData[日付],"&lt;="&amp;DATE(YEAR(tblData[[#This Row],[日付]]),12,31))</f>
        <v>14380000</v>
      </c>
      <c r="O14" s="18">
        <f>IFERROR(TREND($L$6:INDEX($L:$L,ROW(),1),$K$6:INDEX($K:$K,ROW(),1),IF(MONTH(tblData[[#This Row],[日付]])=12,13,MONTH(tblData[[#This Row],[日付]])+1)),"")</f>
        <v>1077647.0588235294</v>
      </c>
      <c r="P14" s="18">
        <f>IFERROR(TREND($M$6:INDEX($M:$M,ROW(),1),$I$6:INDEX($I:$I,ROW(),1),IF(tblData[[#This Row],[四半期]]=4,5,tblData[[#This Row],[四半期]]+1)),"")</f>
        <v>4740000</v>
      </c>
      <c r="Q14" s="18">
        <f>IFERROR(TREND($N$6:INDEX($N:$N,ROW(),1),$J$6:INDEX($J:$J,ROW(),1),tblData[[#This Row],[年]]+1),"")</f>
        <v>14380000</v>
      </c>
    </row>
    <row r="15" spans="2:17" ht="17.25" customHeight="1" x14ac:dyDescent="0.2">
      <c r="B15" s="11">
        <f>40761+(365*2)</f>
        <v>41491</v>
      </c>
      <c r="C15" s="12" t="s">
        <v>23</v>
      </c>
      <c r="D15" s="15">
        <v>850000</v>
      </c>
      <c r="E15" s="15">
        <v>830000</v>
      </c>
      <c r="F15" s="15">
        <v>710000</v>
      </c>
      <c r="G15" s="16">
        <f>tblData[[#This Row],[金額]]-tblData[[#This Row],[費用]]</f>
        <v>140000</v>
      </c>
      <c r="H15" s="19">
        <f>DATE(YEAR(データ入力!$B15),MONTH(データ入力!$B15),1)</f>
        <v>41487</v>
      </c>
      <c r="I15" s="65">
        <f>LOOKUP(MONTH(データ入力!$H15),{1,1;2,1;3,1;4,2;5,2;6,2;7,3;8,3;9,3;10,4;11,4;12,4})</f>
        <v>3</v>
      </c>
      <c r="J15" s="13">
        <f>YEAR(データ入力!$B15)</f>
        <v>2013</v>
      </c>
      <c r="K15" s="14">
        <f>MONTH(tblData[[#This Row],[日付]])</f>
        <v>8</v>
      </c>
      <c r="L15" s="17">
        <f>SUMIFS(tblData[金額],tblData[日付],"&gt;="&amp;EOMONTH(tblData[[#This Row],[日付]],-1)+1,tblData[日付],"&lt;="&amp;EOMONTH(tblData[[#This Row],[日付]],0))</f>
        <v>1640000</v>
      </c>
      <c r="M15" s="17">
        <f>SUMIFS(tblData[金額],tblData[日付],"&gt;="&amp;DATE(YEAR(tblData[[#This Row],[日付]]),1,1),tblData[日付],"&lt;="&amp;DATE(YEAR(tblData[[#This Row],[日付]]),12,31),tblData[四半期],tblData[[#This Row],[四半期]])</f>
        <v>4910000</v>
      </c>
      <c r="N15" s="17">
        <f>SUMIFS(tblData[金額],tblData[日付],"&gt;="&amp;DATE(YEAR(tblData[[#This Row],[日付]]),1,1),tblData[日付],"&lt;="&amp;DATE(YEAR(tblData[[#This Row],[日付]]),12,31))</f>
        <v>14380000</v>
      </c>
      <c r="O15" s="18">
        <f>IFERROR(TREND($L$6:INDEX($L:$L,ROW(),1),$K$6:INDEX($K:$K,ROW(),1),IF(MONTH(tblData[[#This Row],[日付]])=12,13,MONTH(tblData[[#This Row],[日付]])+1)),"")</f>
        <v>1245586.2068965519</v>
      </c>
      <c r="P15" s="18">
        <f>IFERROR(TREND($M$6:INDEX($M:$M,ROW(),1),$I$6:INDEX($I:$I,ROW(),1),IF(tblData[[#This Row],[四半期]]=4,5,tblData[[#This Row],[四半期]]+1)),"")</f>
        <v>4740000</v>
      </c>
      <c r="Q15" s="18">
        <f>IFERROR(TREND($N$6:INDEX($N:$N,ROW(),1),$J$6:INDEX($J:$J,ROW(),1),tblData[[#This Row],[年]]+1),"")</f>
        <v>14380000</v>
      </c>
    </row>
    <row r="16" spans="2:17" ht="17.25" customHeight="1" x14ac:dyDescent="0.2">
      <c r="B16" s="11">
        <f>40775+(365*2)</f>
        <v>41505</v>
      </c>
      <c r="C16" s="12" t="s">
        <v>24</v>
      </c>
      <c r="D16" s="15">
        <v>790000</v>
      </c>
      <c r="E16" s="15">
        <v>770000</v>
      </c>
      <c r="F16" s="15">
        <v>660000</v>
      </c>
      <c r="G16" s="16">
        <f>tblData[[#This Row],[金額]]-tblData[[#This Row],[費用]]</f>
        <v>130000</v>
      </c>
      <c r="H16" s="19">
        <f>DATE(YEAR(データ入力!$B16),MONTH(データ入力!$B16),1)</f>
        <v>41487</v>
      </c>
      <c r="I16" s="65">
        <f>LOOKUP(MONTH(データ入力!$H16),{1,1;2,1;3,1;4,2;5,2;6,2;7,3;8,3;9,3;10,4;11,4;12,4})</f>
        <v>3</v>
      </c>
      <c r="J16" s="13">
        <f>YEAR(データ入力!$B16)</f>
        <v>2013</v>
      </c>
      <c r="K16" s="14">
        <f>MONTH(tblData[[#This Row],[日付]])</f>
        <v>8</v>
      </c>
      <c r="L16" s="17">
        <f>SUMIFS(tblData[金額],tblData[日付],"&gt;="&amp;EOMONTH(tblData[[#This Row],[日付]],-1)+1,tblData[日付],"&lt;="&amp;EOMONTH(tblData[[#This Row],[日付]],0))</f>
        <v>1640000</v>
      </c>
      <c r="M16" s="17">
        <f>SUMIFS(tblData[金額],tblData[日付],"&gt;="&amp;DATE(YEAR(tblData[[#This Row],[日付]]),1,1),tblData[日付],"&lt;="&amp;DATE(YEAR(tblData[[#This Row],[日付]]),12,31),tblData[四半期],tblData[[#This Row],[四半期]])</f>
        <v>4910000</v>
      </c>
      <c r="N16" s="17">
        <f>SUMIFS(tblData[金額],tblData[日付],"&gt;="&amp;DATE(YEAR(tblData[[#This Row],[日付]]),1,1),tblData[日付],"&lt;="&amp;DATE(YEAR(tblData[[#This Row],[日付]]),12,31))</f>
        <v>14380000</v>
      </c>
      <c r="O16" s="18">
        <f>IFERROR(TREND($L$6:INDEX($L:$L,ROW(),1),$K$6:INDEX($K:$K,ROW(),1),IF(MONTH(tblData[[#This Row],[日付]])=12,13,MONTH(tblData[[#This Row],[日付]])+1)),"")</f>
        <v>1366756.7567567565</v>
      </c>
      <c r="P16" s="18">
        <f>IFERROR(TREND($M$6:INDEX($M:$M,ROW(),1),$I$6:INDEX($I:$I,ROW(),1),IF(tblData[[#This Row],[四半期]]=4,5,tblData[[#This Row],[四半期]]+1)),"")</f>
        <v>4740000</v>
      </c>
      <c r="Q16" s="18">
        <f>IFERROR(TREND($N$6:INDEX($N:$N,ROW(),1),$J$6:INDEX($J:$J,ROW(),1),tblData[[#This Row],[年]]+1),"")</f>
        <v>14380000</v>
      </c>
    </row>
    <row r="17" spans="2:17" ht="17.25" customHeight="1" x14ac:dyDescent="0.2">
      <c r="B17" s="11">
        <f>40791+(365*2)</f>
        <v>41521</v>
      </c>
      <c r="C17" s="12" t="s">
        <v>25</v>
      </c>
      <c r="D17" s="15">
        <v>910000</v>
      </c>
      <c r="E17" s="15">
        <v>890000</v>
      </c>
      <c r="F17" s="15">
        <v>790000</v>
      </c>
      <c r="G17" s="16">
        <f>tblData[[#This Row],[金額]]-tblData[[#This Row],[費用]]</f>
        <v>120000</v>
      </c>
      <c r="H17" s="19">
        <f>DATE(YEAR(データ入力!$B17),MONTH(データ入力!$B17),1)</f>
        <v>41518</v>
      </c>
      <c r="I17" s="65">
        <f>LOOKUP(MONTH(データ入力!$H17),{1,1;2,1;3,1;4,2;5,2;6,2;7,3;8,3;9,3;10,4;11,4;12,4})</f>
        <v>3</v>
      </c>
      <c r="J17" s="13">
        <f>YEAR(データ入力!$B17)</f>
        <v>2013</v>
      </c>
      <c r="K17" s="14">
        <f>MONTH(tblData[[#This Row],[日付]])</f>
        <v>9</v>
      </c>
      <c r="L17" s="17">
        <f>SUMIFS(tblData[金額],tblData[日付],"&gt;="&amp;EOMONTH(tblData[[#This Row],[日付]],-1)+1,tblData[日付],"&lt;="&amp;EOMONTH(tblData[[#This Row],[日付]],0))</f>
        <v>2400000</v>
      </c>
      <c r="M17" s="17">
        <f>SUMIFS(tblData[金額],tblData[日付],"&gt;="&amp;DATE(YEAR(tblData[[#This Row],[日付]]),1,1),tblData[日付],"&lt;="&amp;DATE(YEAR(tblData[[#This Row],[日付]]),12,31),tblData[四半期],tblData[[#This Row],[四半期]])</f>
        <v>4910000</v>
      </c>
      <c r="N17" s="17">
        <f>SUMIFS(tblData[金額],tblData[日付],"&gt;="&amp;DATE(YEAR(tblData[[#This Row],[日付]]),1,1),tblData[日付],"&lt;="&amp;DATE(YEAR(tblData[[#This Row],[日付]]),12,31))</f>
        <v>14380000</v>
      </c>
      <c r="O17" s="18">
        <f>IFERROR(TREND($L$6:INDEX($L:$L,ROW(),1),$K$6:INDEX($K:$K,ROW(),1),IF(MONTH(tblData[[#This Row],[日付]])=12,13,MONTH(tblData[[#This Row],[日付]])+1)),"")</f>
        <v>1765166.6666666665</v>
      </c>
      <c r="P17" s="18">
        <f>IFERROR(TREND($M$6:INDEX($M:$M,ROW(),1),$I$6:INDEX($I:$I,ROW(),1),IF(tblData[[#This Row],[四半期]]=4,5,tblData[[#This Row],[四半期]]+1)),"")</f>
        <v>4740000</v>
      </c>
      <c r="Q17" s="18">
        <f>IFERROR(TREND($N$6:INDEX($N:$N,ROW(),1),$J$6:INDEX($J:$J,ROW(),1),tblData[[#This Row],[年]]+1),"")</f>
        <v>14380000</v>
      </c>
    </row>
    <row r="18" spans="2:17" ht="17.25" customHeight="1" x14ac:dyDescent="0.2">
      <c r="B18" s="11">
        <f>40807+(365*2)</f>
        <v>41537</v>
      </c>
      <c r="C18" s="12" t="s">
        <v>21</v>
      </c>
      <c r="D18" s="15">
        <v>560000</v>
      </c>
      <c r="E18" s="15">
        <v>580000</v>
      </c>
      <c r="F18" s="15">
        <v>450000</v>
      </c>
      <c r="G18" s="16">
        <f>tblData[[#This Row],[金額]]-tblData[[#This Row],[費用]]</f>
        <v>110000</v>
      </c>
      <c r="H18" s="19">
        <f>DATE(YEAR(データ入力!$B18),MONTH(データ入力!$B18),1)</f>
        <v>41518</v>
      </c>
      <c r="I18" s="65">
        <f>LOOKUP(MONTH(データ入力!$H18),{1,1;2,1;3,1;4,2;5,2;6,2;7,3;8,3;9,3;10,4;11,4;12,4})</f>
        <v>3</v>
      </c>
      <c r="J18" s="13">
        <f>YEAR(データ入力!$B18)</f>
        <v>2013</v>
      </c>
      <c r="K18" s="14">
        <f>MONTH(tblData[[#This Row],[日付]])</f>
        <v>9</v>
      </c>
      <c r="L18" s="17">
        <f>SUMIFS(tblData[金額],tblData[日付],"&gt;="&amp;EOMONTH(tblData[[#This Row],[日付]],-1)+1,tblData[日付],"&lt;="&amp;EOMONTH(tblData[[#This Row],[日付]],0))</f>
        <v>2400000</v>
      </c>
      <c r="M18" s="17">
        <f>SUMIFS(tblData[金額],tblData[日付],"&gt;="&amp;DATE(YEAR(tblData[[#This Row],[日付]]),1,1),tblData[日付],"&lt;="&amp;DATE(YEAR(tblData[[#This Row],[日付]]),12,31),tblData[四半期],tblData[[#This Row],[四半期]])</f>
        <v>4910000</v>
      </c>
      <c r="N18" s="17">
        <f>SUMIFS(tblData[金額],tblData[日付],"&gt;="&amp;DATE(YEAR(tblData[[#This Row],[日付]]),1,1),tblData[日付],"&lt;="&amp;DATE(YEAR(tblData[[#This Row],[日付]]),12,31))</f>
        <v>14380000</v>
      </c>
      <c r="O18" s="18">
        <f>IFERROR(TREND($L$6:INDEX($L:$L,ROW(),1),$K$6:INDEX($K:$K,ROW(),1),IF(MONTH(tblData[[#This Row],[日付]])=12,13,MONTH(tblData[[#This Row],[日付]])+1)),"")</f>
        <v>1987791.1646586345</v>
      </c>
      <c r="P18" s="18">
        <f>IFERROR(TREND($M$6:INDEX($M:$M,ROW(),1),$I$6:INDEX($I:$I,ROW(),1),IF(tblData[[#This Row],[四半期]]=4,5,tblData[[#This Row],[四半期]]+1)),"")</f>
        <v>4740000</v>
      </c>
      <c r="Q18" s="18">
        <f>IFERROR(TREND($N$6:INDEX($N:$N,ROW(),1),$J$6:INDEX($J:$J,ROW(),1),tblData[[#This Row],[年]]+1),"")</f>
        <v>14380000</v>
      </c>
    </row>
    <row r="19" spans="2:17" ht="17.25" customHeight="1" x14ac:dyDescent="0.2">
      <c r="B19" s="11">
        <f>40812+(365*2)</f>
        <v>41542</v>
      </c>
      <c r="C19" s="12" t="s">
        <v>22</v>
      </c>
      <c r="D19" s="15">
        <v>930000</v>
      </c>
      <c r="E19" s="15">
        <v>910000</v>
      </c>
      <c r="F19" s="15">
        <v>750000</v>
      </c>
      <c r="G19" s="16">
        <f>tblData[[#This Row],[金額]]-tblData[[#This Row],[費用]]</f>
        <v>180000</v>
      </c>
      <c r="H19" s="19">
        <f>DATE(YEAR(データ入力!$B19),MONTH(データ入力!$B19),1)</f>
        <v>41518</v>
      </c>
      <c r="I19" s="65">
        <f>LOOKUP(MONTH(データ入力!$H19),{1,1;2,1;3,1;4,2;5,2;6,2;7,3;8,3;9,3;10,4;11,4;12,4})</f>
        <v>3</v>
      </c>
      <c r="J19" s="13">
        <f>YEAR(データ入力!$B19)</f>
        <v>2013</v>
      </c>
      <c r="K19" s="14">
        <f>MONTH(tblData[[#This Row],[日付]])</f>
        <v>9</v>
      </c>
      <c r="L19" s="17">
        <f>SUMIFS(tblData[金額],tblData[日付],"&gt;="&amp;EOMONTH(tblData[[#This Row],[日付]],-1)+1,tblData[日付],"&lt;="&amp;EOMONTH(tblData[[#This Row],[日付]],0))</f>
        <v>2400000</v>
      </c>
      <c r="M19" s="17">
        <f>SUMIFS(tblData[金額],tblData[日付],"&gt;="&amp;DATE(YEAR(tblData[[#This Row],[日付]]),1,1),tblData[日付],"&lt;="&amp;DATE(YEAR(tblData[[#This Row],[日付]]),12,31),tblData[四半期],tblData[[#This Row],[四半期]])</f>
        <v>4910000</v>
      </c>
      <c r="N19" s="17">
        <f>SUMIFS(tblData[金額],tblData[日付],"&gt;="&amp;DATE(YEAR(tblData[[#This Row],[日付]]),1,1),tblData[日付],"&lt;="&amp;DATE(YEAR(tblData[[#This Row],[日付]]),12,31))</f>
        <v>14380000</v>
      </c>
      <c r="O19" s="18">
        <f>IFERROR(TREND($L$6:INDEX($L:$L,ROW(),1),$K$6:INDEX($K:$K,ROW(),1),IF(MONTH(tblData[[#This Row],[日付]])=12,13,MONTH(tblData[[#This Row],[日付]])+1)),"")</f>
        <v>2113805.0314465407</v>
      </c>
      <c r="P19" s="18">
        <f>IFERROR(TREND($M$6:INDEX($M:$M,ROW(),1),$I$6:INDEX($I:$I,ROW(),1),IF(tblData[[#This Row],[四半期]]=4,5,tblData[[#This Row],[四半期]]+1)),"")</f>
        <v>4740000</v>
      </c>
      <c r="Q19" s="18">
        <f>IFERROR(TREND($N$6:INDEX($N:$N,ROW(),1),$J$6:INDEX($J:$J,ROW(),1),tblData[[#This Row],[年]]+1),"")</f>
        <v>14380000</v>
      </c>
    </row>
    <row r="20" spans="2:17" ht="17.25" customHeight="1" x14ac:dyDescent="0.2">
      <c r="B20" s="11">
        <f>40832+(365*2)</f>
        <v>41562</v>
      </c>
      <c r="C20" s="12" t="s">
        <v>23</v>
      </c>
      <c r="D20" s="15">
        <v>880000</v>
      </c>
      <c r="E20" s="15">
        <v>935000</v>
      </c>
      <c r="F20" s="15">
        <v>710000</v>
      </c>
      <c r="G20" s="16">
        <f>tblData[[#This Row],[金額]]-tblData[[#This Row],[費用]]</f>
        <v>170000</v>
      </c>
      <c r="H20" s="19">
        <f>DATE(YEAR(データ入力!$B20),MONTH(データ入力!$B20),1)</f>
        <v>41548</v>
      </c>
      <c r="I20" s="65">
        <f>LOOKUP(MONTH(データ入力!$H20),{1,1;2,1;3,1;4,2;5,2;6,2;7,3;8,3;9,3;10,4;11,4;12,4})</f>
        <v>4</v>
      </c>
      <c r="J20" s="13">
        <f>YEAR(データ入力!$B20)</f>
        <v>2013</v>
      </c>
      <c r="K20" s="14">
        <f>MONTH(tblData[[#This Row],[日付]])</f>
        <v>10</v>
      </c>
      <c r="L20" s="17">
        <f>SUMIFS(tblData[金額],tblData[日付],"&gt;="&amp;EOMONTH(tblData[[#This Row],[日付]],-1)+1,tblData[日付],"&lt;="&amp;EOMONTH(tblData[[#This Row],[日付]],0))</f>
        <v>880000</v>
      </c>
      <c r="M20" s="17">
        <f>SUMIFS(tblData[金額],tblData[日付],"&gt;="&amp;DATE(YEAR(tblData[[#This Row],[日付]]),1,1),tblData[日付],"&lt;="&amp;DATE(YEAR(tblData[[#This Row],[日付]]),12,31),tblData[四半期],tblData[[#This Row],[四半期]])</f>
        <v>4390000</v>
      </c>
      <c r="N20" s="17">
        <f>SUMIFS(tblData[金額],tblData[日付],"&gt;="&amp;DATE(YEAR(tblData[[#This Row],[日付]]),1,1),tblData[日付],"&lt;="&amp;DATE(YEAR(tblData[[#This Row],[日付]]),12,31))</f>
        <v>14380000</v>
      </c>
      <c r="O20" s="18">
        <f>IFERROR(TREND($L$6:INDEX($L:$L,ROW(),1),$K$6:INDEX($K:$K,ROW(),1),IF(MONTH(tblData[[#This Row],[日付]])=12,13,MONTH(tblData[[#This Row],[日付]])+1)),"")</f>
        <v>1795174.418604651</v>
      </c>
      <c r="P20" s="18">
        <f>IFERROR(TREND($M$6:INDEX($M:$M,ROW(),1),$I$6:INDEX($I:$I,ROW(),1),IF(tblData[[#This Row],[四半期]]=4,5,tblData[[#This Row],[四半期]]+1)),"")</f>
        <v>4325813.9534883723</v>
      </c>
      <c r="Q20" s="18">
        <f>IFERROR(TREND($N$6:INDEX($N:$N,ROW(),1),$J$6:INDEX($J:$J,ROW(),1),tblData[[#This Row],[年]]+1),"")</f>
        <v>14380000</v>
      </c>
    </row>
    <row r="21" spans="2:17" ht="17.25" customHeight="1" x14ac:dyDescent="0.2">
      <c r="B21" s="11">
        <f>40853+(365*2)</f>
        <v>41583</v>
      </c>
      <c r="C21" s="12" t="s">
        <v>24</v>
      </c>
      <c r="D21" s="15">
        <v>910000</v>
      </c>
      <c r="E21" s="15">
        <v>920000</v>
      </c>
      <c r="F21" s="15">
        <v>785000</v>
      </c>
      <c r="G21" s="16">
        <f>tblData[[#This Row],[金額]]-tblData[[#This Row],[費用]]</f>
        <v>125000</v>
      </c>
      <c r="H21" s="19">
        <f>DATE(YEAR(データ入力!$B21),MONTH(データ入力!$B21),1)</f>
        <v>41579</v>
      </c>
      <c r="I21" s="65">
        <f>LOOKUP(MONTH(データ入力!$H21),{1,1;2,1;3,1;4,2;5,2;6,2;7,3;8,3;9,3;10,4;11,4;12,4})</f>
        <v>4</v>
      </c>
      <c r="J21" s="13">
        <f>YEAR(データ入力!$B21)</f>
        <v>2013</v>
      </c>
      <c r="K21" s="14">
        <f>MONTH(tblData[[#This Row],[日付]])</f>
        <v>11</v>
      </c>
      <c r="L21" s="17">
        <f>SUMIFS(tblData[金額],tblData[日付],"&gt;="&amp;EOMONTH(tblData[[#This Row],[日付]],-1)+1,tblData[日付],"&lt;="&amp;EOMONTH(tblData[[#This Row],[日付]],0))</f>
        <v>2560000</v>
      </c>
      <c r="M21" s="17">
        <f>SUMIFS(tblData[金額],tblData[日付],"&gt;="&amp;DATE(YEAR(tblData[[#This Row],[日付]]),1,1),tblData[日付],"&lt;="&amp;DATE(YEAR(tblData[[#This Row],[日付]]),12,31),tblData[四半期],tblData[[#This Row],[四半期]])</f>
        <v>4390000</v>
      </c>
      <c r="N21" s="17">
        <f>SUMIFS(tblData[金額],tblData[日付],"&gt;="&amp;DATE(YEAR(tblData[[#This Row],[日付]]),1,1),tblData[日付],"&lt;="&amp;DATE(YEAR(tblData[[#This Row],[日付]]),12,31))</f>
        <v>14380000</v>
      </c>
      <c r="O21" s="18">
        <f>IFERROR(TREND($L$6:INDEX($L:$L,ROW(),1),$K$6:INDEX($K:$K,ROW(),1),IF(MONTH(tblData[[#This Row],[日付]])=12,13,MONTH(tblData[[#This Row],[日付]])+1)),"")</f>
        <v>2055613.0108423685</v>
      </c>
      <c r="P21" s="18">
        <f>IFERROR(TREND($M$6:INDEX($M:$M,ROW(),1),$I$6:INDEX($I:$I,ROW(),1),IF(tblData[[#This Row],[四半期]]=4,5,tblData[[#This Row],[四半期]]+1)),"")</f>
        <v>4231290.3225806449</v>
      </c>
      <c r="Q21" s="18">
        <f>IFERROR(TREND($N$6:INDEX($N:$N,ROW(),1),$J$6:INDEX($J:$J,ROW(),1),tblData[[#This Row],[年]]+1),"")</f>
        <v>14380000</v>
      </c>
    </row>
    <row r="22" spans="2:17" ht="17.25" customHeight="1" x14ac:dyDescent="0.2">
      <c r="B22" s="11">
        <f>40874+(365*2)</f>
        <v>41604</v>
      </c>
      <c r="C22" s="12" t="s">
        <v>25</v>
      </c>
      <c r="D22" s="15">
        <v>900000</v>
      </c>
      <c r="E22" s="15">
        <v>1000000</v>
      </c>
      <c r="F22" s="15">
        <v>757500</v>
      </c>
      <c r="G22" s="16">
        <f>tblData[[#This Row],[金額]]-tblData[[#This Row],[費用]]</f>
        <v>142500</v>
      </c>
      <c r="H22" s="19">
        <f>DATE(YEAR(データ入力!$B22),MONTH(データ入力!$B22),1)</f>
        <v>41579</v>
      </c>
      <c r="I22" s="65">
        <f>LOOKUP(MONTH(データ入力!$H22),{1,1;2,1;3,1;4,2;5,2;6,2;7,3;8,3;9,3;10,4;11,4;12,4})</f>
        <v>4</v>
      </c>
      <c r="J22" s="13">
        <f>YEAR(データ入力!$B22)</f>
        <v>2013</v>
      </c>
      <c r="K22" s="14">
        <f>MONTH(tblData[[#This Row],[日付]])</f>
        <v>11</v>
      </c>
      <c r="L22" s="17">
        <f>SUMIFS(tblData[金額],tblData[日付],"&gt;="&amp;EOMONTH(tblData[[#This Row],[日付]],-1)+1,tblData[日付],"&lt;="&amp;EOMONTH(tblData[[#This Row],[日付]],0))</f>
        <v>2560000</v>
      </c>
      <c r="M22" s="17">
        <f>SUMIFS(tblData[金額],tblData[日付],"&gt;="&amp;DATE(YEAR(tblData[[#This Row],[日付]]),1,1),tblData[日付],"&lt;="&amp;DATE(YEAR(tblData[[#This Row],[日付]]),12,31),tblData[四半期],tblData[[#This Row],[四半期]])</f>
        <v>4390000</v>
      </c>
      <c r="N22" s="17">
        <f>SUMIFS(tblData[金額],tblData[日付],"&gt;="&amp;DATE(YEAR(tblData[[#This Row],[日付]]),1,1),tblData[日付],"&lt;="&amp;DATE(YEAR(tblData[[#This Row],[日付]]),12,31))</f>
        <v>14380000</v>
      </c>
      <c r="O22" s="18">
        <f>IFERROR(TREND($L$6:INDEX($L:$L,ROW(),1),$K$6:INDEX($K:$K,ROW(),1),IF(MONTH(tblData[[#This Row],[日付]])=12,13,MONTH(tblData[[#This Row],[日付]])+1)),"")</f>
        <v>2199713.9141742522</v>
      </c>
      <c r="P22" s="18">
        <f>IFERROR(TREND($M$6:INDEX($M:$M,ROW(),1),$I$6:INDEX($I:$I,ROW(),1),IF(tblData[[#This Row],[四半期]]=4,5,tblData[[#This Row],[四半期]]+1)),"")</f>
        <v>4181111.1111111115</v>
      </c>
      <c r="Q22" s="18">
        <f>IFERROR(TREND($N$6:INDEX($N:$N,ROW(),1),$J$6:INDEX($J:$J,ROW(),1),tblData[[#This Row],[年]]+1),"")</f>
        <v>14380000</v>
      </c>
    </row>
    <row r="23" spans="2:17" ht="17.25" customHeight="1" x14ac:dyDescent="0.2">
      <c r="B23" s="11">
        <f>40878+(365*2)</f>
        <v>41608</v>
      </c>
      <c r="C23" s="12" t="s">
        <v>25</v>
      </c>
      <c r="D23" s="15">
        <v>750000</v>
      </c>
      <c r="E23" s="15">
        <v>800000</v>
      </c>
      <c r="F23" s="15">
        <v>585000</v>
      </c>
      <c r="G23" s="16">
        <f>tblData[[#This Row],[金額]]-tblData[[#This Row],[費用]]</f>
        <v>165000</v>
      </c>
      <c r="H23" s="19">
        <f>DATE(YEAR(データ入力!$B23),MONTH(データ入力!$B23),1)</f>
        <v>41579</v>
      </c>
      <c r="I23" s="65">
        <f>LOOKUP(MONTH(データ入力!$H23),{1,1;2,1;3,1;4,2;5,2;6,2;7,3;8,3;9,3;10,4;11,4;12,4})</f>
        <v>4</v>
      </c>
      <c r="J23" s="13">
        <f>YEAR(データ入力!$B23)</f>
        <v>2013</v>
      </c>
      <c r="K23" s="14">
        <f>MONTH(tblData[[#This Row],[日付]])</f>
        <v>11</v>
      </c>
      <c r="L23" s="17">
        <f>SUMIFS(tblData[金額],tblData[日付],"&gt;="&amp;EOMONTH(tblData[[#This Row],[日付]],-1)+1,tblData[日付],"&lt;="&amp;EOMONTH(tblData[[#This Row],[日付]],0))</f>
        <v>2560000</v>
      </c>
      <c r="M23" s="17">
        <f>SUMIFS(tblData[金額],tblData[日付],"&gt;="&amp;DATE(YEAR(tblData[[#This Row],[日付]]),1,1),tblData[日付],"&lt;="&amp;DATE(YEAR(tblData[[#This Row],[日付]]),12,31),tblData[四半期],tblData[[#This Row],[四半期]])</f>
        <v>4390000</v>
      </c>
      <c r="N23" s="17">
        <f>SUMIFS(tblData[金額],tblData[日付],"&gt;="&amp;DATE(YEAR(tblData[[#This Row],[日付]]),1,1),tblData[日付],"&lt;="&amp;DATE(YEAR(tblData[[#This Row],[日付]]),12,31))</f>
        <v>14380000</v>
      </c>
      <c r="O23" s="18">
        <f>IFERROR(TREND($L$6:INDEX($L:$L,ROW(),1),$K$6:INDEX($K:$K,ROW(),1),IF(MONTH(tblData[[#This Row],[日付]])=12,13,MONTH(tblData[[#This Row],[日付]])+1)),"")</f>
        <v>2291763.4523175284</v>
      </c>
      <c r="P23" s="18">
        <f>IFERROR(TREND($M$6:INDEX($M:$M,ROW(),1),$I$6:INDEX($I:$I,ROW(),1),IF(tblData[[#This Row],[四半期]]=4,5,tblData[[#This Row],[四半期]]+1)),"")</f>
        <v>4150000</v>
      </c>
      <c r="Q23" s="18">
        <f>IFERROR(TREND($N$6:INDEX($N:$N,ROW(),1),$J$6:INDEX($J:$J,ROW(),1),tblData[[#This Row],[年]]+1),"")</f>
        <v>14380000</v>
      </c>
    </row>
    <row r="24" spans="2:17" ht="17.25" customHeight="1" x14ac:dyDescent="0.2">
      <c r="B24" s="11">
        <f>40889+(365*2)</f>
        <v>41619</v>
      </c>
      <c r="C24" s="12" t="s">
        <v>21</v>
      </c>
      <c r="D24" s="15">
        <v>950000</v>
      </c>
      <c r="E24" s="15">
        <v>920000</v>
      </c>
      <c r="F24" s="15">
        <v>850000</v>
      </c>
      <c r="G24" s="16">
        <f>tblData[[#This Row],[金額]]-tblData[[#This Row],[費用]]</f>
        <v>100000</v>
      </c>
      <c r="H24" s="19">
        <f>DATE(YEAR(データ入力!$B24),MONTH(データ入力!$B24),1)</f>
        <v>41609</v>
      </c>
      <c r="I24" s="65">
        <f>LOOKUP(MONTH(データ入力!$H24),{1,1;2,1;3,1;4,2;5,2;6,2;7,3;8,3;9,3;10,4;11,4;12,4})</f>
        <v>4</v>
      </c>
      <c r="J24" s="13">
        <f>YEAR(データ入力!$B24)</f>
        <v>2013</v>
      </c>
      <c r="K24" s="14">
        <f>MONTH(tblData[[#This Row],[日付]])</f>
        <v>12</v>
      </c>
      <c r="L24" s="17">
        <f>SUMIFS(tblData[金額],tblData[日付],"&gt;="&amp;EOMONTH(tblData[[#This Row],[日付]],-1)+1,tblData[日付],"&lt;="&amp;EOMONTH(tblData[[#This Row],[日付]],0))</f>
        <v>950000</v>
      </c>
      <c r="M24" s="17">
        <f>SUMIFS(tblData[金額],tblData[日付],"&gt;="&amp;DATE(YEAR(tblData[[#This Row],[日付]]),1,1),tblData[日付],"&lt;="&amp;DATE(YEAR(tblData[[#This Row],[日付]]),12,31),tblData[四半期],tblData[[#This Row],[四半期]])</f>
        <v>4390000</v>
      </c>
      <c r="N24" s="17">
        <f>SUMIFS(tblData[金額],tblData[日付],"&gt;="&amp;DATE(YEAR(tblData[[#This Row],[日付]]),1,1),tblData[日付],"&lt;="&amp;DATE(YEAR(tblData[[#This Row],[日付]]),12,31))</f>
        <v>14380000</v>
      </c>
      <c r="O24" s="18">
        <f>IFERROR(TREND($L$6:INDEX($L:$L,ROW(),1),$K$6:INDEX($K:$K,ROW(),1),IF(MONTH(tblData[[#This Row],[日付]])=12,13,MONTH(tblData[[#This Row],[日付]])+1)),"")</f>
        <v>2050431.4720812184</v>
      </c>
      <c r="P24" s="18">
        <f>IFERROR(TREND($M$6:INDEX($M:$M,ROW(),1),$I$6:INDEX($I:$I,ROW(),1),IF(tblData[[#This Row],[四半期]]=4,5,tblData[[#This Row],[四半期]]+1)),"")</f>
        <v>4128823.5294117648</v>
      </c>
      <c r="Q24" s="18">
        <f>IFERROR(TREND($N$6:INDEX($N:$N,ROW(),1),$J$6:INDEX($J:$J,ROW(),1),tblData[[#This Row],[年]]+1),"")</f>
        <v>14380000</v>
      </c>
    </row>
  </sheetData>
  <phoneticPr fontId="5"/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29"/>
  <sheetViews>
    <sheetView showGridLines="0" zoomScaleNormal="100" workbookViewId="0"/>
  </sheetViews>
  <sheetFormatPr defaultRowHeight="17.25" customHeight="1" x14ac:dyDescent="0.2"/>
  <cols>
    <col min="1" max="1" width="2" style="24" customWidth="1"/>
    <col min="2" max="3" width="16.6640625" style="21" customWidth="1"/>
    <col min="4" max="4" width="16.6640625" style="22" customWidth="1"/>
    <col min="5" max="5" width="39.33203125" style="22" customWidth="1"/>
    <col min="6" max="6" width="27" style="23" customWidth="1"/>
    <col min="7" max="16384" width="9.33203125" style="24"/>
  </cols>
  <sheetData>
    <row r="1" spans="1:6" s="20" customFormat="1" ht="11.25" customHeight="1" x14ac:dyDescent="0.2">
      <c r="B1" s="21"/>
      <c r="C1" s="21"/>
      <c r="D1" s="22"/>
      <c r="E1" s="22"/>
      <c r="F1" s="23"/>
    </row>
    <row r="2" spans="1:6" s="1" customFormat="1" ht="30" x14ac:dyDescent="0.2">
      <c r="B2" s="2" t="s">
        <v>55</v>
      </c>
    </row>
    <row r="3" spans="1:6" ht="17.25" customHeight="1" x14ac:dyDescent="0.2">
      <c r="A3" s="20"/>
    </row>
    <row r="4" spans="1:6" ht="17.25" customHeight="1" x14ac:dyDescent="0.2">
      <c r="A4" s="20"/>
    </row>
    <row r="5" spans="1:6" ht="14.25" x14ac:dyDescent="0.2">
      <c r="B5" s="25" t="s">
        <v>10</v>
      </c>
      <c r="C5" s="25" t="s">
        <v>9</v>
      </c>
      <c r="D5" s="25" t="s">
        <v>8</v>
      </c>
      <c r="E5" s="25" t="s">
        <v>5</v>
      </c>
      <c r="F5" s="26" t="s">
        <v>45</v>
      </c>
    </row>
    <row r="6" spans="1:6" ht="12" x14ac:dyDescent="0.2">
      <c r="B6" s="28">
        <v>2013</v>
      </c>
      <c r="C6" s="67">
        <v>2</v>
      </c>
      <c r="D6" s="66">
        <v>41365</v>
      </c>
      <c r="E6" s="1" t="s">
        <v>20</v>
      </c>
      <c r="F6" s="29">
        <v>640000</v>
      </c>
    </row>
    <row r="7" spans="1:6" ht="12" x14ac:dyDescent="0.2">
      <c r="B7" s="28"/>
      <c r="C7" s="67"/>
      <c r="D7" s="1"/>
      <c r="E7" s="1" t="s">
        <v>21</v>
      </c>
      <c r="F7" s="29">
        <v>820000</v>
      </c>
    </row>
    <row r="8" spans="1:6" ht="12" x14ac:dyDescent="0.2">
      <c r="B8" s="28"/>
      <c r="C8" s="67"/>
      <c r="D8" s="66">
        <v>41395</v>
      </c>
      <c r="E8" s="1" t="s">
        <v>22</v>
      </c>
      <c r="F8" s="29">
        <v>440000</v>
      </c>
    </row>
    <row r="9" spans="1:6" ht="12" x14ac:dyDescent="0.2">
      <c r="B9" s="28"/>
      <c r="C9" s="67"/>
      <c r="D9" s="1"/>
      <c r="E9" s="1" t="s">
        <v>25</v>
      </c>
      <c r="F9" s="29">
        <v>620000</v>
      </c>
    </row>
    <row r="10" spans="1:6" ht="12" x14ac:dyDescent="0.2">
      <c r="B10" s="28"/>
      <c r="C10" s="67"/>
      <c r="D10" s="1"/>
      <c r="E10" s="1" t="s">
        <v>24</v>
      </c>
      <c r="F10" s="29">
        <v>580000</v>
      </c>
    </row>
    <row r="11" spans="1:6" ht="12" x14ac:dyDescent="0.2">
      <c r="B11" s="28"/>
      <c r="C11" s="67"/>
      <c r="D11" s="1"/>
      <c r="E11" s="1" t="s">
        <v>23</v>
      </c>
      <c r="F11" s="29">
        <v>540000</v>
      </c>
    </row>
    <row r="12" spans="1:6" ht="12" x14ac:dyDescent="0.2">
      <c r="B12" s="28"/>
      <c r="C12" s="67"/>
      <c r="D12" s="66">
        <v>41426</v>
      </c>
      <c r="E12" s="1" t="s">
        <v>20</v>
      </c>
      <c r="F12" s="29">
        <v>690000</v>
      </c>
    </row>
    <row r="13" spans="1:6" ht="12" x14ac:dyDescent="0.2">
      <c r="B13" s="28"/>
      <c r="C13" s="67"/>
      <c r="D13" s="1"/>
      <c r="E13" s="1" t="s">
        <v>21</v>
      </c>
      <c r="F13" s="29">
        <v>750000</v>
      </c>
    </row>
    <row r="14" spans="1:6" ht="12" x14ac:dyDescent="0.2">
      <c r="B14" s="28"/>
      <c r="C14" s="27" t="s">
        <v>27</v>
      </c>
      <c r="D14" s="1"/>
      <c r="E14" s="1"/>
      <c r="F14" s="29">
        <v>5080000</v>
      </c>
    </row>
    <row r="15" spans="1:6" ht="12" x14ac:dyDescent="0.2">
      <c r="B15" s="28"/>
      <c r="C15" s="67">
        <v>3</v>
      </c>
      <c r="D15" s="66">
        <v>41456</v>
      </c>
      <c r="E15" s="1" t="s">
        <v>22</v>
      </c>
      <c r="F15" s="29">
        <v>870000</v>
      </c>
    </row>
    <row r="16" spans="1:6" ht="12" x14ac:dyDescent="0.2">
      <c r="B16" s="28"/>
      <c r="C16" s="67"/>
      <c r="D16" s="66">
        <v>41487</v>
      </c>
      <c r="E16" s="1" t="s">
        <v>24</v>
      </c>
      <c r="F16" s="29">
        <v>790000</v>
      </c>
    </row>
    <row r="17" spans="2:6" ht="12" x14ac:dyDescent="0.2">
      <c r="B17" s="28"/>
      <c r="C17" s="67"/>
      <c r="D17" s="1"/>
      <c r="E17" s="1" t="s">
        <v>23</v>
      </c>
      <c r="F17" s="29">
        <v>850000</v>
      </c>
    </row>
    <row r="18" spans="2:6" ht="12" x14ac:dyDescent="0.2">
      <c r="B18" s="28"/>
      <c r="C18" s="67"/>
      <c r="D18" s="66">
        <v>41518</v>
      </c>
      <c r="E18" s="1" t="s">
        <v>22</v>
      </c>
      <c r="F18" s="29">
        <v>930000</v>
      </c>
    </row>
    <row r="19" spans="2:6" ht="12" x14ac:dyDescent="0.2">
      <c r="B19" s="28"/>
      <c r="C19" s="67"/>
      <c r="D19" s="1"/>
      <c r="E19" s="1" t="s">
        <v>25</v>
      </c>
      <c r="F19" s="29">
        <v>910000</v>
      </c>
    </row>
    <row r="20" spans="2:6" ht="12" x14ac:dyDescent="0.2">
      <c r="B20" s="28"/>
      <c r="C20" s="67"/>
      <c r="D20" s="1"/>
      <c r="E20" s="1" t="s">
        <v>21</v>
      </c>
      <c r="F20" s="29">
        <v>560000</v>
      </c>
    </row>
    <row r="21" spans="2:6" ht="12" x14ac:dyDescent="0.2">
      <c r="B21" s="28"/>
      <c r="C21" s="27" t="s">
        <v>28</v>
      </c>
      <c r="D21" s="1"/>
      <c r="E21" s="1"/>
      <c r="F21" s="29">
        <v>4910000</v>
      </c>
    </row>
    <row r="22" spans="2:6" ht="12" x14ac:dyDescent="0.2">
      <c r="B22" s="28"/>
      <c r="C22" s="67">
        <v>4</v>
      </c>
      <c r="D22" s="66">
        <v>41548</v>
      </c>
      <c r="E22" s="1" t="s">
        <v>23</v>
      </c>
      <c r="F22" s="29">
        <v>880000</v>
      </c>
    </row>
    <row r="23" spans="2:6" ht="12" x14ac:dyDescent="0.2">
      <c r="B23" s="28"/>
      <c r="C23" s="67"/>
      <c r="D23" s="66">
        <v>41579</v>
      </c>
      <c r="E23" s="1" t="s">
        <v>25</v>
      </c>
      <c r="F23" s="29">
        <v>1650000</v>
      </c>
    </row>
    <row r="24" spans="2:6" ht="12" x14ac:dyDescent="0.2">
      <c r="B24" s="28"/>
      <c r="C24" s="67"/>
      <c r="D24" s="1"/>
      <c r="E24" s="1" t="s">
        <v>24</v>
      </c>
      <c r="F24" s="29">
        <v>910000</v>
      </c>
    </row>
    <row r="25" spans="2:6" ht="12" x14ac:dyDescent="0.2">
      <c r="B25" s="28"/>
      <c r="C25" s="67"/>
      <c r="D25" s="66">
        <v>41609</v>
      </c>
      <c r="E25" s="1" t="s">
        <v>21</v>
      </c>
      <c r="F25" s="29">
        <v>950000</v>
      </c>
    </row>
    <row r="26" spans="2:6" ht="12" x14ac:dyDescent="0.2">
      <c r="B26" s="28"/>
      <c r="C26" s="27" t="s">
        <v>29</v>
      </c>
      <c r="D26" s="1"/>
      <c r="E26" s="1"/>
      <c r="F26" s="29">
        <v>4390000</v>
      </c>
    </row>
    <row r="27" spans="2:6" ht="12" x14ac:dyDescent="0.2">
      <c r="B27" s="63" t="s">
        <v>26</v>
      </c>
      <c r="C27" s="63"/>
      <c r="D27" s="63"/>
      <c r="E27" s="63"/>
      <c r="F27" s="64">
        <v>14380000</v>
      </c>
    </row>
    <row r="28" spans="2:6" ht="12" x14ac:dyDescent="0.2">
      <c r="B28" s="1" t="s">
        <v>3</v>
      </c>
      <c r="C28" s="1"/>
      <c r="D28" s="1"/>
      <c r="E28" s="1"/>
      <c r="F28" s="29">
        <v>14380000</v>
      </c>
    </row>
    <row r="29" spans="2:6" ht="12" x14ac:dyDescent="0.2">
      <c r="B29" s="1"/>
      <c r="C29" s="1"/>
      <c r="D29" s="1"/>
      <c r="E29" s="1"/>
      <c r="F29" s="1"/>
    </row>
  </sheetData>
  <phoneticPr fontId="5"/>
  <conditionalFormatting sqref="E1:E4 E30:E1048553">
    <cfRule type="expression" dxfId="34" priority="4">
      <formula>(LEN($E1)&gt;0)*(LEN($D2)&gt;0)</formula>
    </cfRule>
  </conditionalFormatting>
  <conditionalFormatting sqref="D1:D5 D26:D1048576 F30:F1048576">
    <cfRule type="expression" dxfId="33" priority="3">
      <formula>(LEN($D1)&gt;0)*(LEN($C1)=0)</formula>
    </cfRule>
  </conditionalFormatting>
  <conditionalFormatting sqref="F1:F5">
    <cfRule type="expression" dxfId="32" priority="1">
      <formula>(LEN($D1)&gt;0)*(LEN($C1)=0)</formula>
    </cfRule>
  </conditionalFormatting>
  <conditionalFormatting sqref="E1048554:E1048576">
    <cfRule type="expression" dxfId="31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1:K43"/>
  <sheetViews>
    <sheetView showGridLines="0" topLeftCell="A7" zoomScaleNormal="100" workbookViewId="0">
      <selection activeCell="K36" sqref="K36"/>
    </sheetView>
  </sheetViews>
  <sheetFormatPr defaultRowHeight="12" x14ac:dyDescent="0.2"/>
  <cols>
    <col min="1" max="1" width="2" style="1" customWidth="1"/>
    <col min="2" max="2" width="23" style="1" customWidth="1"/>
    <col min="3" max="3" width="16.5" style="1" customWidth="1"/>
    <col min="4" max="6" width="16" style="1" customWidth="1"/>
    <col min="7" max="7" width="20.33203125" style="1" customWidth="1"/>
    <col min="8" max="8" width="20.83203125" style="1" customWidth="1"/>
    <col min="9" max="9" width="21.6640625" style="1" customWidth="1"/>
    <col min="10" max="10" width="18.5" style="1" customWidth="1"/>
    <col min="11" max="16384" width="9.33203125" style="1"/>
  </cols>
  <sheetData>
    <row r="1" spans="2:11" ht="16.5" x14ac:dyDescent="0.25">
      <c r="K1" s="58" t="str">
        <f ca="1">"TODAY'S DATE: "&amp;UPPER(TEXT(TODAY(),"mmm d, yyyy"))</f>
        <v>TODAY'S DATE: SEP 30, 2017</v>
      </c>
    </row>
    <row r="2" spans="2:11" ht="30" x14ac:dyDescent="0.2">
      <c r="B2" s="2" t="s">
        <v>56</v>
      </c>
    </row>
    <row r="3" spans="2:11" ht="27.75" customHeight="1" x14ac:dyDescent="0.25">
      <c r="B3" s="30" t="str">
        <f ca="1">"今日の日付: "&amp;UPPER(TEXT(TODAY(),"yyyy 年 m 月 d 日"))</f>
        <v>今日の日付: 2017 年 9 月 30 日</v>
      </c>
      <c r="D3" s="31">
        <f ca="1">--TRIM(RIGHT(K1,LEN(K1)-FIND(":",K1)))</f>
        <v>43008</v>
      </c>
    </row>
    <row r="4" spans="2:11" ht="15" customHeight="1" x14ac:dyDescent="0.2"/>
    <row r="5" spans="2:11" ht="18.75" customHeight="1" x14ac:dyDescent="0.2">
      <c r="B5" s="32" t="s">
        <v>30</v>
      </c>
      <c r="C5" s="33" t="s">
        <v>31</v>
      </c>
      <c r="D5" s="33" t="s">
        <v>32</v>
      </c>
      <c r="E5" s="33" t="s">
        <v>33</v>
      </c>
      <c r="F5" s="33" t="s">
        <v>0</v>
      </c>
      <c r="G5" s="33" t="s">
        <v>34</v>
      </c>
      <c r="H5" s="33" t="s">
        <v>35</v>
      </c>
      <c r="I5" s="33" t="s">
        <v>36</v>
      </c>
      <c r="J5" s="34" t="s">
        <v>37</v>
      </c>
    </row>
    <row r="6" spans="2:11" s="10" customFormat="1" ht="15" customHeight="1" x14ac:dyDescent="0.2">
      <c r="B6" s="35" t="s">
        <v>46</v>
      </c>
      <c r="C6" s="36">
        <f ca="1">COUNTIF(データ入力!$B$6:$B$24,"&gt;="&amp;DATE(fYear,MONTH(fDate),1))-COUNTIF(データ入力!$B$6:$B$24,"&gt;"&amp;EOMONTH(fDate,0))</f>
        <v>19</v>
      </c>
      <c r="D6" s="37"/>
      <c r="E6" s="38"/>
      <c r="F6" s="39"/>
      <c r="G6" s="36">
        <f ca="1">COUNTIF(tblData[日付],"&lt;="&amp;EOMONTH(fDate,0))</f>
        <v>19</v>
      </c>
      <c r="H6" s="40"/>
      <c r="I6" s="40"/>
      <c r="J6" s="41"/>
    </row>
    <row r="7" spans="2:11" s="10" customFormat="1" ht="15" customHeight="1" x14ac:dyDescent="0.2">
      <c r="B7" s="42" t="s">
        <v>40</v>
      </c>
      <c r="C7" s="59">
        <f ca="1">SUMIF(tblData[日付],"&gt;="&amp;DATE(fYear,MONTH(fDate),1),tblData[金額])-SUMIF(tblData[日付],"&gt;"&amp;EOMONTH(fDate,0),tblData[金額])</f>
        <v>14380000</v>
      </c>
      <c r="D7" s="59">
        <f ca="1">SUMIF(データ入力!$B$6:$B$24,"&gt;="&amp;DATE(fYear,MONTH(fDate),1),データ入力!$E$6:$E$24)-SUMIF(データ入力!$B$6:$B$24,"&gt;"&amp;EOMONTH(fDate,0),データ入力!$E$6:$E$24)</f>
        <v>14465000</v>
      </c>
      <c r="E7" s="59">
        <f ca="1">D7-C7</f>
        <v>85000</v>
      </c>
      <c r="F7" s="59">
        <f ca="1">IFERROR(D7/C7,"-")</f>
        <v>1.0059109874826146</v>
      </c>
      <c r="G7" s="59">
        <f ca="1">SUMIF(tblData[日付],"&lt;="&amp;EOMONTH(fDate,0),tblData[金額])</f>
        <v>14380000</v>
      </c>
      <c r="H7" s="59">
        <f ca="1">SUMIF(tblData[日付],"&lt;="&amp;EOMONTH(fDate,0),tblData[計画])</f>
        <v>14465000</v>
      </c>
      <c r="I7" s="59">
        <f ca="1">H7-G7</f>
        <v>85000</v>
      </c>
      <c r="J7" s="60">
        <f ca="1">IFERROR(H7/G7,"")</f>
        <v>1.0059109874826146</v>
      </c>
    </row>
    <row r="8" spans="2:11" s="10" customFormat="1" ht="15" customHeight="1" x14ac:dyDescent="0.2">
      <c r="B8" s="42" t="s">
        <v>7</v>
      </c>
      <c r="C8" s="59">
        <f ca="1">(SUMIF(tblData[日付],"&gt;="&amp;DATE(fYear,MONTH(fDate),1),tblData[金額])-SUMIF(tblData[日付],"&gt;"&amp;EOMONTH(fDate,0),tblData[金額]))-(SUMIF(tblData[日付],"&gt;="&amp;DATE(fYear,MONTH(fDate),1),tblData[費用])-SUMIF(tblData[日付],"&gt;"&amp;EOMONTH(fDate,0),tblData[費用]))</f>
        <v>2722500</v>
      </c>
      <c r="D8" s="59">
        <f ca="1">(SUMIF(データ入力!$B$6:$B$24,"&gt;="&amp;DATE(fYear,MONTH(fDate),1),データ入力!$E$6:$E$24)-SUMIF(データ入力!$B$6:$B$24,"&gt;"&amp;EOMONTH(fDate,0),データ入力!$E$6:$E$24))-(SUMIF(データ入力!$B$6:$B$24,"&gt;="&amp;DATE(fYear,MONTH(fDate),1),データ入力!$F$6:$F$24)-SUMIF(データ入力!$B$6:$B$24,"&gt;"&amp;EOMONTH(fDate,0),データ入力!$F$6:$F$24))</f>
        <v>2807500</v>
      </c>
      <c r="E8" s="59">
        <f ca="1">D8-C8</f>
        <v>85000</v>
      </c>
      <c r="F8" s="59">
        <f ca="1">IFERROR(D8/C8,"-")</f>
        <v>1.0312213039485767</v>
      </c>
      <c r="G8" s="59">
        <f ca="1">SUMIF(データ入力!$B$6:$B$24,"&lt;="&amp;EOMONTH(fDate,0),データ入力!$F$6:$F$24)</f>
        <v>11657500</v>
      </c>
      <c r="H8" s="59">
        <f ca="1">SUMIF(tblData[日付],"&lt;="&amp;EOMONTH(fDate,0),tblData[費用])</f>
        <v>11657500</v>
      </c>
      <c r="I8" s="59">
        <f ca="1">H8-G8</f>
        <v>0</v>
      </c>
      <c r="J8" s="60">
        <f ca="1">IFERROR(H8/G8,"")</f>
        <v>1</v>
      </c>
    </row>
    <row r="9" spans="2:11" s="10" customFormat="1" ht="15" customHeight="1" x14ac:dyDescent="0.2">
      <c r="B9" s="42" t="s">
        <v>47</v>
      </c>
      <c r="C9" s="44">
        <f ca="1">IFERROR(C8/C7,"-")</f>
        <v>0.18932545201668985</v>
      </c>
      <c r="D9" s="44">
        <f ca="1">IFERROR(D8/D7,"-")</f>
        <v>0.194089180781196</v>
      </c>
      <c r="E9" s="44"/>
      <c r="F9" s="44">
        <f ca="1">IFERROR(F8/F7,"-")</f>
        <v>1.0251615866422767</v>
      </c>
      <c r="G9" s="44">
        <f ca="1">IFERROR(G8/G7,"")</f>
        <v>0.81067454798331018</v>
      </c>
      <c r="H9" s="44">
        <f ca="1">IFERROR(H8/H7,"")</f>
        <v>0.80591081921880403</v>
      </c>
      <c r="I9" s="44"/>
      <c r="J9" s="45">
        <f ca="1">IFERROR(J8/J7,"")</f>
        <v>0.99412374697545813</v>
      </c>
    </row>
    <row r="10" spans="2:11" s="10" customFormat="1" ht="15" customHeight="1" x14ac:dyDescent="0.2">
      <c r="B10" s="42" t="s">
        <v>48</v>
      </c>
      <c r="C10" s="46">
        <f ca="1">COUNTIF(tblData[日付],"&gt;="&amp;DATE(fYear,MONTH(fDate),1))-COUNTIF(tblData[日付],"&gt;"&amp;EOMONTH(fDate,0))</f>
        <v>19</v>
      </c>
      <c r="D10" s="47"/>
      <c r="E10" s="47"/>
      <c r="F10" s="47"/>
      <c r="G10" s="46">
        <f ca="1">COUNTIF(tblData[日付],"&gt;"&amp;EOMONTH(fDate,0))</f>
        <v>0</v>
      </c>
      <c r="H10" s="47"/>
      <c r="I10" s="47"/>
      <c r="J10" s="48"/>
    </row>
    <row r="11" spans="2:11" s="10" customFormat="1" ht="15" customHeight="1" x14ac:dyDescent="0.2">
      <c r="B11" s="42" t="s">
        <v>49</v>
      </c>
      <c r="C11" s="43">
        <f ca="1">IFERROR(C7/C10,"-")</f>
        <v>756842.10526315786</v>
      </c>
      <c r="D11" s="47"/>
      <c r="E11" s="47"/>
      <c r="F11" s="47"/>
      <c r="G11" s="59" t="str">
        <f ca="1">IFERROR(G7/G10,"-")</f>
        <v>-</v>
      </c>
      <c r="H11" s="47"/>
      <c r="I11" s="47"/>
      <c r="J11" s="48"/>
    </row>
    <row r="12" spans="2:11" ht="27" customHeight="1" x14ac:dyDescent="0.2">
      <c r="B12" s="49"/>
      <c r="C12" s="49"/>
      <c r="D12" s="49"/>
      <c r="E12" s="49"/>
      <c r="F12" s="49"/>
      <c r="G12" s="49"/>
      <c r="H12" s="49"/>
      <c r="I12" s="49"/>
      <c r="J12" s="49"/>
    </row>
    <row r="13" spans="2:11" ht="15.75" customHeight="1" x14ac:dyDescent="0.25">
      <c r="B13" s="50" t="s">
        <v>17</v>
      </c>
      <c r="C13" s="50"/>
      <c r="D13" s="50" t="s">
        <v>38</v>
      </c>
      <c r="E13" s="51"/>
      <c r="F13" s="50" t="s">
        <v>39</v>
      </c>
      <c r="G13" s="51"/>
      <c r="H13" s="50"/>
      <c r="I13" s="50" t="s">
        <v>50</v>
      </c>
      <c r="J13" s="52"/>
    </row>
    <row r="14" spans="2:11" x14ac:dyDescent="0.2">
      <c r="B14" s="53" t="s">
        <v>40</v>
      </c>
      <c r="C14" s="53"/>
      <c r="D14" s="61">
        <f ca="1">TREND(tblData[[月 ]],tblData[MONTH NUM (HIDE)],IF(MONTH(fDate)=12,13,MONTH(fDate)+1))</f>
        <v>1945190.3553299494</v>
      </c>
      <c r="E14" s="62"/>
      <c r="F14" s="61">
        <f ca="1">TREND(tblData[[四半期 ]],tblData[MONTH NUM (HIDE)],IF(MONTH(fDate)=12,13,MONTH(fDate)+1))</f>
        <v>4609898.4771573609</v>
      </c>
      <c r="G14" s="55"/>
      <c r="H14" s="54"/>
      <c r="I14" s="61">
        <f ca="1">TREND(tblData[[年間 ]],tblData[MONTH NUM (HIDE)],IF(MONTH(fDate)=12,13,MONTH(fDate)+1))</f>
        <v>14380000</v>
      </c>
      <c r="J14" s="56"/>
    </row>
    <row r="15" spans="2:11" ht="27" customHeight="1" x14ac:dyDescent="0.2"/>
    <row r="16" spans="2:11" s="57" customFormat="1" ht="27" customHeight="1" x14ac:dyDescent="0.2">
      <c r="B16" s="57" t="s">
        <v>44</v>
      </c>
    </row>
    <row r="30" spans="2:6" s="57" customFormat="1" ht="27" customHeight="1" x14ac:dyDescent="0.2">
      <c r="B30" s="57" t="s">
        <v>42</v>
      </c>
      <c r="F30" s="57" t="s">
        <v>41</v>
      </c>
    </row>
    <row r="38" spans="2:10" s="57" customFormat="1" ht="27" customHeight="1" x14ac:dyDescent="0.2">
      <c r="B38" s="57" t="s">
        <v>43</v>
      </c>
      <c r="F38" s="57" t="s">
        <v>57</v>
      </c>
    </row>
    <row r="43" spans="2:10" x14ac:dyDescent="0.2">
      <c r="J43" s="1" t="s">
        <v>2</v>
      </c>
    </row>
  </sheetData>
  <phoneticPr fontId="5"/>
  <conditionalFormatting sqref="E2">
    <cfRule type="expression" dxfId="16" priority="3">
      <formula>(LEN($E2)&gt;0)*(LEN($D3)&gt;0)</formula>
    </cfRule>
  </conditionalFormatting>
  <conditionalFormatting sqref="D2">
    <cfRule type="expression" dxfId="15" priority="2">
      <formula>(LEN($D2)&gt;0)*(LEN($C2)=0)</formula>
    </cfRule>
  </conditionalFormatting>
  <conditionalFormatting sqref="F2">
    <cfRule type="expression" dxfId="14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EE7169-E8EC-4E19-BA48-3F46D4C38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データ入力</vt:lpstr>
      <vt:lpstr>売上レポート</vt:lpstr>
      <vt:lpstr>販売予測</vt:lpstr>
      <vt:lpstr>fDate</vt:lpstr>
      <vt:lpstr>fDay</vt:lpstr>
      <vt:lpstr>fMonth</vt:lpstr>
      <vt:lpstr>ForecastDate</vt:lpstr>
      <vt:lpstr>fYear</vt:lpstr>
      <vt:lpstr>販売予測!Print_Area</vt:lpstr>
      <vt:lpstr>売上レポート!Print_Titles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keywords/>
  <cp:lastModifiedBy>Goto</cp:lastModifiedBy>
  <dcterms:modified xsi:type="dcterms:W3CDTF">2017-09-30T10:50:27Z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TC029300469991</vt:lpwstr>
  </property>
</Properties>
</file>